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ijferpublicaties werkgroep\H1 2019\10. Tabellen en ratio's website\"/>
    </mc:Choice>
  </mc:AlternateContent>
  <xr:revisionPtr revIDLastSave="0" documentId="14_{06300B86-07F3-4348-8797-FAAF8D16619C}" xr6:coauthVersionLast="36" xr6:coauthVersionMax="36" xr10:uidLastSave="{00000000-0000-0000-0000-000000000000}"/>
  <bookViews>
    <workbookView xWindow="0" yWindow="0" windowWidth="15510" windowHeight="1380" xr2:uid="{A0CF6C03-3EB6-46DF-864B-7279D0E6E332}"/>
  </bookViews>
  <sheets>
    <sheet name="HALF YEAR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'HALF YEAR 2019'!$A$1:$G$140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0" i="1" l="1"/>
  <c r="G149" i="1" l="1"/>
  <c r="F149" i="1"/>
  <c r="E149" i="1"/>
  <c r="G143" i="1"/>
  <c r="F143" i="1"/>
  <c r="G137" i="1"/>
  <c r="F137" i="1"/>
  <c r="G130" i="1"/>
  <c r="G120" i="1"/>
  <c r="F120" i="1"/>
  <c r="G94" i="1"/>
  <c r="F94" i="1"/>
  <c r="G87" i="1"/>
  <c r="F87" i="1"/>
  <c r="G76" i="1"/>
  <c r="F76" i="1"/>
  <c r="G49" i="1"/>
  <c r="F49" i="1"/>
  <c r="G32" i="1"/>
  <c r="F32" i="1"/>
  <c r="F21" i="1"/>
  <c r="D21" i="1"/>
  <c r="G16" i="1"/>
  <c r="G21" i="1" s="1"/>
  <c r="E16" i="1"/>
  <c r="E21" i="1" s="1"/>
  <c r="G22" i="1"/>
  <c r="G25" i="1" s="1"/>
  <c r="F22" i="1"/>
  <c r="F25" i="1" s="1"/>
  <c r="E22" i="1"/>
  <c r="E25" i="1" s="1"/>
  <c r="D22" i="1"/>
  <c r="D25" i="1" s="1"/>
  <c r="G8" i="1"/>
  <c r="E8" i="1"/>
  <c r="F57" i="1" l="1"/>
  <c r="F101" i="1"/>
  <c r="F103" i="1" s="1"/>
  <c r="F113" i="1" s="1"/>
  <c r="F107" i="1"/>
  <c r="F111" i="1"/>
  <c r="F115" i="1" s="1"/>
  <c r="F140" i="1"/>
  <c r="G101" i="1"/>
  <c r="G103" i="1" s="1"/>
  <c r="G113" i="1" s="1"/>
  <c r="G152" i="1"/>
  <c r="G156" i="1" s="1"/>
  <c r="G140" i="1"/>
  <c r="F152" i="1"/>
  <c r="F156" i="1" s="1"/>
  <c r="E152" i="1"/>
  <c r="E156" i="1" s="1"/>
  <c r="G53" i="1"/>
  <c r="G79" i="1"/>
  <c r="G83" i="1" s="1"/>
  <c r="G6" i="1"/>
  <c r="G19" i="1"/>
  <c r="G37" i="1"/>
  <c r="E26" i="1"/>
  <c r="G90" i="1"/>
  <c r="G123" i="1"/>
  <c r="G126" i="1" s="1"/>
  <c r="F114" i="1"/>
  <c r="G57" i="1"/>
  <c r="G59" i="1" s="1"/>
  <c r="G107" i="1"/>
  <c r="G114" i="1" s="1"/>
  <c r="G111" i="1"/>
  <c r="G115" i="1" s="1"/>
  <c r="G146" i="1"/>
  <c r="E6" i="1"/>
  <c r="G26" i="1"/>
  <c r="E19" i="1"/>
  <c r="F37" i="1"/>
  <c r="F53" i="1"/>
  <c r="F79" i="1"/>
  <c r="F83" i="1" s="1"/>
  <c r="F90" i="1"/>
  <c r="F123" i="1"/>
  <c r="F126" i="1" s="1"/>
  <c r="F133" i="1"/>
  <c r="G133" i="1"/>
  <c r="G28" i="1" l="1"/>
  <c r="F59" i="1"/>
  <c r="E28" i="1"/>
  <c r="F116" i="1"/>
  <c r="G157" i="1"/>
  <c r="G161" i="1" s="1"/>
  <c r="F157" i="1"/>
  <c r="F161" i="1" s="1"/>
  <c r="F41" i="1"/>
  <c r="F45" i="1" s="1"/>
  <c r="G84" i="1"/>
  <c r="G41" i="1"/>
  <c r="G45" i="1" s="1"/>
  <c r="F84" i="1"/>
  <c r="G116" i="1"/>
</calcChain>
</file>

<file path=xl/sharedStrings.xml><?xml version="1.0" encoding="utf-8"?>
<sst xmlns="http://schemas.openxmlformats.org/spreadsheetml/2006/main" count="229" uniqueCount="137">
  <si>
    <t>a.s.r.</t>
  </si>
  <si>
    <t>HALF YEAR 2019</t>
  </si>
  <si>
    <t>Return on Equity</t>
  </si>
  <si>
    <t>H1 2018</t>
  </si>
  <si>
    <t>H1 2019</t>
  </si>
  <si>
    <t>a</t>
  </si>
  <si>
    <t>Net result (annualized)</t>
  </si>
  <si>
    <t>b</t>
  </si>
  <si>
    <t>a + b =</t>
  </si>
  <si>
    <t>c</t>
  </si>
  <si>
    <t>FY 2017</t>
  </si>
  <si>
    <t>FY 2018</t>
  </si>
  <si>
    <t>d</t>
  </si>
  <si>
    <t>Total equity attributable to shareholders</t>
  </si>
  <si>
    <t>average d =</t>
  </si>
  <si>
    <t>e</t>
  </si>
  <si>
    <t>Average total equity attributable to shareholders</t>
  </si>
  <si>
    <t>c / e =</t>
  </si>
  <si>
    <t>f</t>
  </si>
  <si>
    <t>Return on equity</t>
  </si>
  <si>
    <t>Operating return on equity</t>
  </si>
  <si>
    <t>Operating net result (annualized)</t>
  </si>
  <si>
    <t>Unrealized gains / losses (as part of equity)</t>
  </si>
  <si>
    <t>Equity of discontinued operations (Bank) and non-core (Real Estate Development)</t>
  </si>
  <si>
    <t>d + e + f =</t>
  </si>
  <si>
    <t>g</t>
  </si>
  <si>
    <t>Total equity attributable to shareholders (excl, unrealized gains / losses and discontinued operations)</t>
  </si>
  <si>
    <t>average g =</t>
  </si>
  <si>
    <t>h</t>
  </si>
  <si>
    <t>Average total equity attributable to shareholders - adjusted</t>
  </si>
  <si>
    <t>c / h =</t>
  </si>
  <si>
    <t>i</t>
  </si>
  <si>
    <t>Financial leverage</t>
  </si>
  <si>
    <t>10% hybrid</t>
  </si>
  <si>
    <t>5% hybrid</t>
  </si>
  <si>
    <t>Hybrid capital</t>
  </si>
  <si>
    <t>5.125% subordinated liability</t>
  </si>
  <si>
    <t>3.375% subordinated liability</t>
  </si>
  <si>
    <t>Senior loan</t>
  </si>
  <si>
    <t>j</t>
  </si>
  <si>
    <t>Total debt</t>
  </si>
  <si>
    <t>k</t>
  </si>
  <si>
    <t>l</t>
  </si>
  <si>
    <t>Financial leverage (%)</t>
  </si>
  <si>
    <t>Interest coverage</t>
  </si>
  <si>
    <t>Hybrid capital (T1, T2)</t>
  </si>
  <si>
    <t>Subordinated loans</t>
  </si>
  <si>
    <t>a + b + c =</t>
  </si>
  <si>
    <t>Total interest expenses</t>
  </si>
  <si>
    <t>Result before taxes</t>
  </si>
  <si>
    <t>e + f =</t>
  </si>
  <si>
    <t>Result before tax and interest expenses</t>
  </si>
  <si>
    <t>g / d =</t>
  </si>
  <si>
    <t>Interest coverage ratio</t>
  </si>
  <si>
    <t>d + e =</t>
  </si>
  <si>
    <t>f / c =</t>
  </si>
  <si>
    <t>Double leverage</t>
  </si>
  <si>
    <t>Other equity instruments (hybrid)</t>
  </si>
  <si>
    <t>Total available capital</t>
  </si>
  <si>
    <t>Total invested capital</t>
  </si>
  <si>
    <t>d / c =</t>
  </si>
  <si>
    <t>Double leverage (%)</t>
  </si>
  <si>
    <t>d - c =</t>
  </si>
  <si>
    <t>Double leverage (€ m)</t>
  </si>
  <si>
    <t>Solvency II ratio (standard formula)</t>
  </si>
  <si>
    <t>Eligible own funds</t>
  </si>
  <si>
    <t>Required capital</t>
  </si>
  <si>
    <t>a / b =</t>
  </si>
  <si>
    <t>Solvency II ratio (after proposed dividend and excluding a.s.r. Bank)</t>
  </si>
  <si>
    <t>Combined ratio P&amp;C and Disability</t>
  </si>
  <si>
    <t>Net insurance premium</t>
  </si>
  <si>
    <t>Net insurance claims and benefits</t>
  </si>
  <si>
    <t>Compensation capital gains (Disability)</t>
  </si>
  <si>
    <t>Interest accrual on provisions (Disability)</t>
  </si>
  <si>
    <t>c + d =</t>
  </si>
  <si>
    <t>Total corrections</t>
  </si>
  <si>
    <t>b + e =</t>
  </si>
  <si>
    <t>Net insurance claims and benefits (after corrections)</t>
  </si>
  <si>
    <t>Fee and commission income</t>
  </si>
  <si>
    <t>Acquisitions costs</t>
  </si>
  <si>
    <t>g + h =</t>
  </si>
  <si>
    <t>Commission</t>
  </si>
  <si>
    <t>Operational expenses</t>
  </si>
  <si>
    <t>Correction made for investment charges</t>
  </si>
  <si>
    <t>j + k =</t>
  </si>
  <si>
    <t>Operational costs (after corrections)</t>
  </si>
  <si>
    <t>-f / a =</t>
  </si>
  <si>
    <t>m</t>
  </si>
  <si>
    <t>Claims ratio</t>
  </si>
  <si>
    <t>-i / a =</t>
  </si>
  <si>
    <t>n</t>
  </si>
  <si>
    <t>Commission ratio</t>
  </si>
  <si>
    <t>-l / a =</t>
  </si>
  <si>
    <t>o</t>
  </si>
  <si>
    <t>Expense ratio</t>
  </si>
  <si>
    <t>m + n + o =</t>
  </si>
  <si>
    <t>p</t>
  </si>
  <si>
    <t>Combined ratio</t>
  </si>
  <si>
    <t>Operating result per share</t>
  </si>
  <si>
    <t>Operating net result</t>
  </si>
  <si>
    <t>Number of shares outstanding</t>
  </si>
  <si>
    <t>c / d =</t>
  </si>
  <si>
    <t>Operating result per share (€)</t>
  </si>
  <si>
    <t>Dividend per share</t>
  </si>
  <si>
    <t>Dividend</t>
  </si>
  <si>
    <t>Dividend per share (€)</t>
  </si>
  <si>
    <t>* proposed interim dividend</t>
  </si>
  <si>
    <t>Basic earnings per share (on IFRS basis)</t>
  </si>
  <si>
    <t>Profit for the year attributable to shareholders</t>
  </si>
  <si>
    <t>Basic earnings per share (€)</t>
  </si>
  <si>
    <t>Organic growth gross written premiums P&amp;C and Disability</t>
  </si>
  <si>
    <t>GWP P&amp;C and Disability</t>
  </si>
  <si>
    <t>GWP Acquisitions in reporting year (P&amp;C and Disability)</t>
  </si>
  <si>
    <t>GWP organic growth rate (% vs same period last year)</t>
  </si>
  <si>
    <t>Life operating expenses on basic provision</t>
  </si>
  <si>
    <t>Liabilities arising from insurance contracts</t>
  </si>
  <si>
    <t>Liabilities arising from insurance contracts on behalf of policyholders</t>
  </si>
  <si>
    <t>Total technical provision Life</t>
  </si>
  <si>
    <t>-/- shadow accounting reserve</t>
  </si>
  <si>
    <t>-/- realised gains reserve</t>
  </si>
  <si>
    <t>-/- other reserves</t>
  </si>
  <si>
    <t>Basic provision Life</t>
  </si>
  <si>
    <t>Average basic provision Life</t>
  </si>
  <si>
    <t>Life operating expenses on basic life provision per annum (bps)</t>
  </si>
  <si>
    <t>Costs for hybrid capital through equity (net, annualized)</t>
  </si>
  <si>
    <t>Net result after costs for hybrid capital through equity</t>
  </si>
  <si>
    <t>Costs for hybrid capital through equity</t>
  </si>
  <si>
    <t>Operating net result after costs for hybrid capital through equity</t>
  </si>
  <si>
    <t>7.25% hybrid</t>
  </si>
  <si>
    <t>4.625% hybrid</t>
  </si>
  <si>
    <t>a + b + c + d =</t>
  </si>
  <si>
    <t>e + f + g + h =</t>
  </si>
  <si>
    <t>c - (d + e + f) =</t>
  </si>
  <si>
    <r>
      <t>(a - 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 - b)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 xml:space="preserve"> - 1</t>
    </r>
  </si>
  <si>
    <t>- i / h * 10.000 =</t>
  </si>
  <si>
    <t>i / (i + j) =</t>
  </si>
  <si>
    <t>Operating expenses Life (annualized)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</si>
</sst>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.0_ ;_ * \-#,##0.0_ ;_ * &quot;-&quot;??_ ;_ @_ "/>
    <numFmt numFmtId="165" formatCode="0_ ;\-0\ "/>
    <numFmt numFmtId="166" formatCode="_ * #,##0_ ;_ * \-#,##0_ ;_ * &quot;-&quot;??_ ;_ @_ "/>
    <numFmt numFmtId="167" formatCode="0.0%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sz val="10"/>
      <color theme="0" tint="-0.1499984740745262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horizontal="right" wrapText="1"/>
    </xf>
  </cellStyleXfs>
  <cellXfs count="104">
    <xf numFmtId="0" fontId="0" fillId="0" borderId="0" xfId="0"/>
    <xf numFmtId="0" fontId="4" fillId="2" borderId="0" xfId="0" applyFont="1" applyFill="1" applyAlignment="1">
      <alignment horizontal="center" vertical="top"/>
    </xf>
    <xf numFmtId="164" fontId="4" fillId="2" borderId="0" xfId="1" applyNumberFormat="1" applyFont="1" applyFill="1" applyAlignment="1">
      <alignment vertical="top"/>
    </xf>
    <xf numFmtId="164" fontId="4" fillId="2" borderId="0" xfId="1" applyNumberFormat="1" applyFont="1" applyFill="1" applyAlignment="1">
      <alignment horizontal="right" vertical="top"/>
    </xf>
    <xf numFmtId="164" fontId="5" fillId="2" borderId="0" xfId="1" applyNumberFormat="1" applyFont="1" applyFill="1" applyAlignment="1">
      <alignment horizontal="right" vertical="top"/>
    </xf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165" fontId="6" fillId="0" borderId="1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65" fontId="7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6" fontId="4" fillId="0" borderId="0" xfId="1" applyNumberFormat="1" applyFont="1" applyFill="1" applyAlignment="1">
      <alignment vertical="top"/>
    </xf>
    <xf numFmtId="166" fontId="4" fillId="0" borderId="2" xfId="1" applyNumberFormat="1" applyFont="1" applyFill="1" applyBorder="1" applyAlignment="1">
      <alignment horizontal="right" vertical="top"/>
    </xf>
    <xf numFmtId="166" fontId="5" fillId="3" borderId="0" xfId="1" applyNumberFormat="1" applyFont="1" applyFill="1" applyAlignment="1">
      <alignment horizontal="right" vertical="top"/>
    </xf>
    <xf numFmtId="166" fontId="4" fillId="0" borderId="1" xfId="1" applyNumberFormat="1" applyFont="1" applyFill="1" applyBorder="1" applyAlignment="1">
      <alignment horizontal="right" vertical="top"/>
    </xf>
    <xf numFmtId="166" fontId="5" fillId="3" borderId="1" xfId="1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166" fontId="6" fillId="0" borderId="0" xfId="1" applyNumberFormat="1" applyFont="1" applyFill="1" applyAlignment="1">
      <alignment vertical="top"/>
    </xf>
    <xf numFmtId="166" fontId="6" fillId="0" borderId="0" xfId="1" applyNumberFormat="1" applyFont="1" applyFill="1" applyAlignment="1">
      <alignment horizontal="right" vertical="top"/>
    </xf>
    <xf numFmtId="166" fontId="7" fillId="3" borderId="0" xfId="1" applyNumberFormat="1" applyFont="1" applyFill="1" applyAlignment="1">
      <alignment horizontal="right" vertical="top"/>
    </xf>
    <xf numFmtId="165" fontId="7" fillId="3" borderId="1" xfId="1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vertical="top"/>
    </xf>
    <xf numFmtId="166" fontId="4" fillId="0" borderId="0" xfId="1" applyNumberFormat="1" applyFont="1" applyFill="1" applyBorder="1" applyAlignment="1">
      <alignment horizontal="right" vertical="top"/>
    </xf>
    <xf numFmtId="166" fontId="5" fillId="3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4" fontId="5" fillId="3" borderId="0" xfId="1" applyNumberFormat="1" applyFont="1" applyFill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7" fontId="7" fillId="3" borderId="0" xfId="2" applyNumberFormat="1" applyFont="1" applyFill="1" applyBorder="1" applyAlignment="1">
      <alignment horizontal="right" vertical="top"/>
    </xf>
    <xf numFmtId="167" fontId="7" fillId="0" borderId="0" xfId="2" applyNumberFormat="1" applyFont="1" applyFill="1" applyBorder="1" applyAlignment="1">
      <alignment horizontal="right" vertical="top"/>
    </xf>
    <xf numFmtId="166" fontId="4" fillId="0" borderId="0" xfId="1" applyNumberFormat="1" applyFont="1" applyFill="1" applyAlignment="1">
      <alignment horizontal="right" vertical="top"/>
    </xf>
    <xf numFmtId="166" fontId="4" fillId="0" borderId="3" xfId="1" applyNumberFormat="1" applyFont="1" applyFill="1" applyBorder="1" applyAlignment="1">
      <alignment vertical="top"/>
    </xf>
    <xf numFmtId="166" fontId="4" fillId="0" borderId="3" xfId="1" applyNumberFormat="1" applyFont="1" applyFill="1" applyBorder="1" applyAlignment="1">
      <alignment horizontal="right" vertical="top"/>
    </xf>
    <xf numFmtId="166" fontId="5" fillId="3" borderId="3" xfId="1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166" fontId="6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Alignment="1">
      <alignment vertical="top"/>
    </xf>
    <xf numFmtId="167" fontId="4" fillId="0" borderId="0" xfId="2" applyNumberFormat="1" applyFont="1" applyFill="1" applyAlignment="1">
      <alignment horizontal="right" vertical="top"/>
    </xf>
    <xf numFmtId="167" fontId="5" fillId="0" borderId="0" xfId="2" applyNumberFormat="1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164" fontId="4" fillId="4" borderId="0" xfId="1" applyNumberFormat="1" applyFont="1" applyFill="1" applyAlignment="1">
      <alignment vertical="top"/>
    </xf>
    <xf numFmtId="164" fontId="4" fillId="4" borderId="0" xfId="1" applyNumberFormat="1" applyFont="1" applyFill="1" applyAlignment="1">
      <alignment horizontal="right" vertical="top"/>
    </xf>
    <xf numFmtId="166" fontId="5" fillId="3" borderId="2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166" fontId="7" fillId="3" borderId="0" xfId="1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vertical="top"/>
    </xf>
    <xf numFmtId="167" fontId="7" fillId="3" borderId="0" xfId="2" applyNumberFormat="1" applyFont="1" applyFill="1" applyBorder="1" applyAlignment="1">
      <alignment vertical="top"/>
    </xf>
    <xf numFmtId="43" fontId="6" fillId="0" borderId="0" xfId="1" applyFont="1" applyFill="1" applyBorder="1" applyAlignment="1">
      <alignment horizontal="right" vertical="top"/>
    </xf>
    <xf numFmtId="164" fontId="5" fillId="0" borderId="0" xfId="1" applyNumberFormat="1" applyFont="1" applyFill="1" applyAlignment="1">
      <alignment horizontal="right" vertical="top"/>
    </xf>
    <xf numFmtId="164" fontId="5" fillId="3" borderId="0" xfId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7" fontId="8" fillId="0" borderId="0" xfId="2" applyNumberFormat="1" applyFont="1" applyFill="1" applyBorder="1" applyAlignment="1">
      <alignment vertical="top"/>
    </xf>
    <xf numFmtId="166" fontId="5" fillId="3" borderId="0" xfId="1" applyNumberFormat="1" applyFont="1" applyFill="1" applyAlignment="1">
      <alignment vertical="top"/>
    </xf>
    <xf numFmtId="166" fontId="5" fillId="3" borderId="1" xfId="1" applyNumberFormat="1" applyFont="1" applyFill="1" applyBorder="1" applyAlignment="1">
      <alignment vertical="top"/>
    </xf>
    <xf numFmtId="166" fontId="7" fillId="3" borderId="0" xfId="1" applyNumberFormat="1" applyFont="1" applyFill="1" applyAlignment="1">
      <alignment vertical="top"/>
    </xf>
    <xf numFmtId="164" fontId="6" fillId="0" borderId="0" xfId="1" applyNumberFormat="1" applyFont="1" applyFill="1" applyAlignment="1">
      <alignment horizontal="right" vertical="top"/>
    </xf>
    <xf numFmtId="164" fontId="7" fillId="3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0" fontId="6" fillId="0" borderId="1" xfId="0" applyFont="1" applyFill="1" applyBorder="1" applyAlignment="1">
      <alignment horizontal="right" vertical="top"/>
    </xf>
    <xf numFmtId="164" fontId="5" fillId="5" borderId="0" xfId="1" applyNumberFormat="1" applyFont="1" applyFill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164" fontId="5" fillId="5" borderId="0" xfId="1" applyNumberFormat="1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164" fontId="9" fillId="0" borderId="0" xfId="1" applyNumberFormat="1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166" fontId="7" fillId="3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vertical="top"/>
    </xf>
    <xf numFmtId="166" fontId="7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166" fontId="5" fillId="3" borderId="0" xfId="0" applyNumberFormat="1" applyFont="1" applyFill="1" applyBorder="1" applyAlignment="1">
      <alignment horizontal="right" vertical="top"/>
    </xf>
    <xf numFmtId="9" fontId="6" fillId="0" borderId="0" xfId="2" applyFont="1" applyFill="1" applyBorder="1" applyAlignment="1">
      <alignment vertical="top"/>
    </xf>
    <xf numFmtId="9" fontId="6" fillId="0" borderId="0" xfId="2" applyFont="1" applyFill="1" applyBorder="1" applyAlignment="1">
      <alignment horizontal="right" vertical="top"/>
    </xf>
    <xf numFmtId="9" fontId="7" fillId="3" borderId="0" xfId="2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horizontal="right" vertical="top"/>
    </xf>
    <xf numFmtId="166" fontId="5" fillId="3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67" fontId="5" fillId="3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Alignment="1">
      <alignment horizontal="right" vertical="top"/>
    </xf>
    <xf numFmtId="43" fontId="6" fillId="0" borderId="0" xfId="1" applyFont="1" applyFill="1" applyAlignment="1">
      <alignment horizontal="right" vertical="top"/>
    </xf>
    <xf numFmtId="43" fontId="7" fillId="3" borderId="0" xfId="0" applyNumberFormat="1" applyFont="1" applyFill="1" applyBorder="1" applyAlignment="1">
      <alignment horizontal="right" vertical="top"/>
    </xf>
    <xf numFmtId="43" fontId="6" fillId="0" borderId="0" xfId="1" applyNumberFormat="1" applyFont="1" applyFill="1" applyAlignment="1">
      <alignment horizontal="right" vertical="top"/>
    </xf>
    <xf numFmtId="43" fontId="7" fillId="3" borderId="0" xfId="1" applyNumberFormat="1" applyFont="1" applyFill="1" applyAlignment="1">
      <alignment horizontal="right" vertical="top"/>
    </xf>
    <xf numFmtId="3" fontId="11" fillId="4" borderId="4" xfId="3" quotePrefix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4" fillId="0" borderId="0" xfId="1" quotePrefix="1" applyNumberFormat="1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6" fillId="0" borderId="0" xfId="0" quotePrefix="1" applyFont="1" applyFill="1" applyBorder="1" applyAlignment="1">
      <alignment horizontal="left" vertical="top" wrapText="1"/>
    </xf>
    <xf numFmtId="164" fontId="4" fillId="0" borderId="0" xfId="1" applyNumberFormat="1" applyFont="1" applyFill="1" applyAlignment="1">
      <alignment horizontal="center" vertical="top"/>
    </xf>
    <xf numFmtId="164" fontId="12" fillId="2" borderId="0" xfId="1" quotePrefix="1" applyNumberFormat="1" applyFont="1" applyFill="1" applyAlignment="1">
      <alignment horizontal="center" vertical="top"/>
    </xf>
    <xf numFmtId="164" fontId="3" fillId="2" borderId="0" xfId="1" quotePrefix="1" applyNumberFormat="1" applyFont="1" applyFill="1" applyAlignment="1">
      <alignment horizontal="center" vertical="top"/>
    </xf>
    <xf numFmtId="168" fontId="4" fillId="4" borderId="0" xfId="3" quotePrefix="1" applyNumberFormat="1" applyFont="1" applyFill="1" applyBorder="1" applyAlignment="1">
      <alignment horizontal="left" vertical="top" wrapText="1"/>
    </xf>
    <xf numFmtId="0" fontId="4" fillId="4" borderId="0" xfId="0" quotePrefix="1" applyFont="1" applyFill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4" fillId="0" borderId="0" xfId="0" quotePrefix="1" applyFont="1" applyFill="1" applyAlignment="1">
      <alignment vertical="top"/>
    </xf>
  </cellXfs>
  <cellStyles count="4">
    <cellStyle name="Fnt_default_11_bold" xfId="3" xr:uid="{3974481E-2A9B-43E9-A0BC-939CC1C00C15}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\MRC\2014\Reporting\2014%2006\21.%20Standard%20&amp;%20Poor\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 refreshError="1"/>
      <sheetData sheetId="1" refreshError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 refreshError="1">
        <row r="1">
          <cell r="E1" t="str">
            <v>2011Q3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 refreshError="1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 refreshError="1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 refreshError="1"/>
      <sheetData sheetId="1" refreshError="1"/>
      <sheetData sheetId="2" refreshError="1">
        <row r="142">
          <cell r="B142"/>
        </row>
      </sheetData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 refreshError="1">
        <row r="6">
          <cell r="B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 refreshError="1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2FD2-21FC-48AA-A016-96DB68D8F588}">
  <sheetPr>
    <pageSetUpPr fitToPage="1"/>
  </sheetPr>
  <dimension ref="A1:H161"/>
  <sheetViews>
    <sheetView showGridLines="0" tabSelected="1" topLeftCell="A121" zoomScaleNormal="100" workbookViewId="0">
      <selection activeCell="F131" sqref="F131"/>
    </sheetView>
  </sheetViews>
  <sheetFormatPr defaultColWidth="9.140625" defaultRowHeight="12.75" x14ac:dyDescent="0.25"/>
  <cols>
    <col min="1" max="1" width="18.5703125" style="12" bestFit="1" customWidth="1"/>
    <col min="2" max="2" width="3.140625" style="6" bestFit="1" customWidth="1"/>
    <col min="3" max="3" width="72.85546875" style="5" bestFit="1" customWidth="1"/>
    <col min="4" max="4" width="12.28515625" style="5" customWidth="1"/>
    <col min="5" max="5" width="12.28515625" style="27" customWidth="1"/>
    <col min="6" max="6" width="14" style="27" bestFit="1" customWidth="1"/>
    <col min="7" max="7" width="14" style="51" bestFit="1" customWidth="1"/>
    <col min="8" max="16384" width="9.140625" style="5"/>
  </cols>
  <sheetData>
    <row r="1" spans="1:7" ht="18" x14ac:dyDescent="0.25">
      <c r="A1" s="98" t="s">
        <v>0</v>
      </c>
      <c r="B1" s="1"/>
      <c r="C1" s="99" t="s">
        <v>1</v>
      </c>
      <c r="D1" s="2"/>
      <c r="E1" s="3"/>
      <c r="F1" s="3"/>
      <c r="G1" s="4"/>
    </row>
    <row r="3" spans="1:7" x14ac:dyDescent="0.25">
      <c r="A3" s="5"/>
      <c r="C3" s="7" t="s">
        <v>2</v>
      </c>
      <c r="D3" s="8"/>
      <c r="E3" s="9" t="s">
        <v>3</v>
      </c>
      <c r="F3" s="10"/>
      <c r="G3" s="11" t="s">
        <v>4</v>
      </c>
    </row>
    <row r="4" spans="1:7" x14ac:dyDescent="0.25">
      <c r="B4" s="6" t="s">
        <v>5</v>
      </c>
      <c r="C4" s="13" t="s">
        <v>6</v>
      </c>
      <c r="D4" s="14"/>
      <c r="E4" s="15">
        <v>736</v>
      </c>
      <c r="F4" s="10"/>
      <c r="G4" s="16">
        <v>1079.4629611400003</v>
      </c>
    </row>
    <row r="5" spans="1:7" x14ac:dyDescent="0.25">
      <c r="B5" s="6" t="s">
        <v>7</v>
      </c>
      <c r="C5" s="13" t="s">
        <v>124</v>
      </c>
      <c r="D5" s="14"/>
      <c r="E5" s="17">
        <v>-44.515463520000004</v>
      </c>
      <c r="F5" s="10"/>
      <c r="G5" s="18">
        <v>-47.949757499999997</v>
      </c>
    </row>
    <row r="6" spans="1:7" x14ac:dyDescent="0.25">
      <c r="A6" s="12" t="s">
        <v>8</v>
      </c>
      <c r="B6" s="6" t="s">
        <v>9</v>
      </c>
      <c r="C6" s="19" t="s">
        <v>125</v>
      </c>
      <c r="D6" s="20"/>
      <c r="E6" s="21">
        <f>E4+E5</f>
        <v>691.48453647999997</v>
      </c>
      <c r="F6" s="10"/>
      <c r="G6" s="22">
        <f>G4+G5</f>
        <v>1031.5132036400003</v>
      </c>
    </row>
    <row r="7" spans="1:7" x14ac:dyDescent="0.25">
      <c r="D7" s="20"/>
      <c r="E7" s="21"/>
      <c r="F7" s="21"/>
      <c r="G7" s="22"/>
    </row>
    <row r="8" spans="1:7" x14ac:dyDescent="0.25">
      <c r="D8" s="9" t="s">
        <v>10</v>
      </c>
      <c r="E8" s="9" t="str">
        <f>E3</f>
        <v>H1 2018</v>
      </c>
      <c r="F8" s="9" t="s">
        <v>11</v>
      </c>
      <c r="G8" s="23" t="str">
        <f>G3</f>
        <v>H1 2019</v>
      </c>
    </row>
    <row r="9" spans="1:7" x14ac:dyDescent="0.25">
      <c r="B9" s="6" t="s">
        <v>12</v>
      </c>
      <c r="C9" s="13" t="s">
        <v>13</v>
      </c>
      <c r="D9" s="24">
        <v>4432</v>
      </c>
      <c r="E9" s="25">
        <v>4493</v>
      </c>
      <c r="F9" s="24">
        <v>4478.0687006700009</v>
      </c>
      <c r="G9" s="26">
        <v>4808.6550565299995</v>
      </c>
    </row>
    <row r="10" spans="1:7" x14ac:dyDescent="0.25">
      <c r="A10" s="12" t="s">
        <v>14</v>
      </c>
      <c r="B10" s="6" t="s">
        <v>15</v>
      </c>
      <c r="C10" s="19" t="s">
        <v>16</v>
      </c>
      <c r="D10" s="21"/>
      <c r="E10" s="21">
        <v>4462.5</v>
      </c>
      <c r="F10" s="21"/>
      <c r="G10" s="22">
        <v>4643.3618786000006</v>
      </c>
    </row>
    <row r="11" spans="1:7" x14ac:dyDescent="0.25">
      <c r="C11" s="13"/>
      <c r="D11" s="27"/>
      <c r="G11" s="28"/>
    </row>
    <row r="12" spans="1:7" x14ac:dyDescent="0.25">
      <c r="A12" s="12" t="s">
        <v>17</v>
      </c>
      <c r="B12" s="6" t="s">
        <v>18</v>
      </c>
      <c r="C12" s="19" t="s">
        <v>19</v>
      </c>
      <c r="D12" s="29"/>
      <c r="E12" s="29">
        <v>0.15495451797871149</v>
      </c>
      <c r="F12" s="29"/>
      <c r="G12" s="30">
        <v>0.22214792441527456</v>
      </c>
    </row>
    <row r="13" spans="1:7" x14ac:dyDescent="0.25">
      <c r="E13" s="29"/>
      <c r="F13" s="29"/>
      <c r="G13" s="31"/>
    </row>
    <row r="14" spans="1:7" x14ac:dyDescent="0.25">
      <c r="E14" s="29"/>
      <c r="F14" s="29"/>
      <c r="G14" s="31"/>
    </row>
    <row r="16" spans="1:7" x14ac:dyDescent="0.25">
      <c r="C16" s="7" t="s">
        <v>20</v>
      </c>
      <c r="D16" s="8"/>
      <c r="E16" s="9" t="str">
        <f>+E3</f>
        <v>H1 2018</v>
      </c>
      <c r="G16" s="11" t="str">
        <f>+G3</f>
        <v>H1 2019</v>
      </c>
    </row>
    <row r="17" spans="1:7" x14ac:dyDescent="0.25">
      <c r="B17" s="6" t="s">
        <v>5</v>
      </c>
      <c r="C17" s="13" t="s">
        <v>21</v>
      </c>
      <c r="D17" s="14"/>
      <c r="E17" s="32">
        <v>569.07741180000005</v>
      </c>
      <c r="G17" s="16">
        <v>689.11003500000004</v>
      </c>
    </row>
    <row r="18" spans="1:7" x14ac:dyDescent="0.25">
      <c r="B18" s="6" t="s">
        <v>7</v>
      </c>
      <c r="C18" s="13" t="s">
        <v>124</v>
      </c>
      <c r="D18" s="14"/>
      <c r="E18" s="17">
        <v>-44.515463520000004</v>
      </c>
      <c r="G18" s="18">
        <v>-47.949757499999997</v>
      </c>
    </row>
    <row r="19" spans="1:7" x14ac:dyDescent="0.25">
      <c r="A19" s="12" t="s">
        <v>8</v>
      </c>
      <c r="B19" s="6" t="s">
        <v>9</v>
      </c>
      <c r="C19" s="19" t="s">
        <v>127</v>
      </c>
      <c r="D19" s="20"/>
      <c r="E19" s="21">
        <f>E17+E18</f>
        <v>524.56194828000002</v>
      </c>
      <c r="G19" s="22">
        <f>G17+G18</f>
        <v>641.16027750000001</v>
      </c>
    </row>
    <row r="20" spans="1:7" x14ac:dyDescent="0.25">
      <c r="C20" s="13"/>
      <c r="D20" s="14"/>
      <c r="E20" s="21"/>
      <c r="F20" s="21"/>
      <c r="G20" s="22"/>
    </row>
    <row r="21" spans="1:7" x14ac:dyDescent="0.25">
      <c r="C21" s="13"/>
      <c r="D21" s="9" t="str">
        <f>D8</f>
        <v>FY 2017</v>
      </c>
      <c r="E21" s="9" t="str">
        <f>+E16</f>
        <v>H1 2018</v>
      </c>
      <c r="F21" s="9" t="str">
        <f>F8</f>
        <v>FY 2018</v>
      </c>
      <c r="G21" s="23" t="str">
        <f>+G16</f>
        <v>H1 2019</v>
      </c>
    </row>
    <row r="22" spans="1:7" x14ac:dyDescent="0.25">
      <c r="B22" s="6" t="s">
        <v>12</v>
      </c>
      <c r="C22" s="13" t="s">
        <v>13</v>
      </c>
      <c r="D22" s="24">
        <f>D9</f>
        <v>4432</v>
      </c>
      <c r="E22" s="32">
        <f>E9</f>
        <v>4493</v>
      </c>
      <c r="F22" s="32">
        <f>F9</f>
        <v>4478.0687006700009</v>
      </c>
      <c r="G22" s="16">
        <f>G9</f>
        <v>4808.6550565299995</v>
      </c>
    </row>
    <row r="23" spans="1:7" x14ac:dyDescent="0.25">
      <c r="B23" s="6" t="s">
        <v>15</v>
      </c>
      <c r="C23" s="13" t="s">
        <v>22</v>
      </c>
      <c r="D23" s="24">
        <v>-869</v>
      </c>
      <c r="E23" s="32">
        <v>-805</v>
      </c>
      <c r="F23" s="32">
        <v>-585.75235585999997</v>
      </c>
      <c r="G23" s="16">
        <v>-873.12712031000012</v>
      </c>
    </row>
    <row r="24" spans="1:7" ht="13.5" thickBot="1" x14ac:dyDescent="0.3">
      <c r="B24" s="6" t="s">
        <v>18</v>
      </c>
      <c r="C24" s="13" t="s">
        <v>23</v>
      </c>
      <c r="D24" s="33">
        <v>-126.515469</v>
      </c>
      <c r="E24" s="34">
        <v>-124.66077133</v>
      </c>
      <c r="F24" s="34">
        <v>-115.20909746000001</v>
      </c>
      <c r="G24" s="35">
        <v>-99.025388250000006</v>
      </c>
    </row>
    <row r="25" spans="1:7" s="39" customFormat="1" ht="30.75" customHeight="1" x14ac:dyDescent="0.25">
      <c r="A25" s="12" t="s">
        <v>24</v>
      </c>
      <c r="B25" s="6" t="s">
        <v>25</v>
      </c>
      <c r="C25" s="37" t="s">
        <v>26</v>
      </c>
      <c r="D25" s="38">
        <f>D22+D23+D24</f>
        <v>3436.4845310000001</v>
      </c>
      <c r="E25" s="38">
        <f>E22+E23+E24</f>
        <v>3563.33922867</v>
      </c>
      <c r="F25" s="38">
        <f>F22+F23+F24</f>
        <v>3777.1072473500008</v>
      </c>
      <c r="G25" s="22">
        <f>G22+G23+G24</f>
        <v>3836.5025479699993</v>
      </c>
    </row>
    <row r="26" spans="1:7" x14ac:dyDescent="0.25">
      <c r="A26" s="12" t="s">
        <v>27</v>
      </c>
      <c r="B26" s="6" t="s">
        <v>28</v>
      </c>
      <c r="C26" s="19" t="s">
        <v>29</v>
      </c>
      <c r="D26" s="21"/>
      <c r="E26" s="21">
        <f>(D25+E25)/2</f>
        <v>3499.911879835</v>
      </c>
      <c r="F26" s="21"/>
      <c r="G26" s="22">
        <f>(F25+G25)/2</f>
        <v>3806.8048976600003</v>
      </c>
    </row>
    <row r="27" spans="1:7" x14ac:dyDescent="0.25">
      <c r="G27" s="28"/>
    </row>
    <row r="28" spans="1:7" x14ac:dyDescent="0.25">
      <c r="A28" s="12" t="s">
        <v>30</v>
      </c>
      <c r="B28" s="6" t="s">
        <v>31</v>
      </c>
      <c r="C28" s="19" t="s">
        <v>20</v>
      </c>
      <c r="D28" s="19"/>
      <c r="E28" s="29">
        <f>+E19/E26</f>
        <v>0.14987861588810344</v>
      </c>
      <c r="F28" s="29"/>
      <c r="G28" s="30">
        <f>+G19/G26</f>
        <v>0.16842478002855202</v>
      </c>
    </row>
    <row r="29" spans="1:7" x14ac:dyDescent="0.25">
      <c r="E29" s="5"/>
      <c r="F29" s="5"/>
      <c r="G29" s="31"/>
    </row>
    <row r="30" spans="1:7" x14ac:dyDescent="0.25">
      <c r="E30" s="29"/>
      <c r="F30" s="29"/>
      <c r="G30" s="31"/>
    </row>
    <row r="31" spans="1:7" x14ac:dyDescent="0.25">
      <c r="E31" s="40"/>
      <c r="F31" s="40"/>
      <c r="G31" s="41"/>
    </row>
    <row r="32" spans="1:7" x14ac:dyDescent="0.25">
      <c r="C32" s="7" t="s">
        <v>32</v>
      </c>
      <c r="F32" s="9" t="str">
        <f>$F$8</f>
        <v>FY 2018</v>
      </c>
      <c r="G32" s="11" t="str">
        <f>+$G$3</f>
        <v>H1 2019</v>
      </c>
    </row>
    <row r="33" spans="1:7" x14ac:dyDescent="0.25">
      <c r="B33" s="6" t="s">
        <v>5</v>
      </c>
      <c r="C33" s="13" t="s">
        <v>33</v>
      </c>
      <c r="F33" s="25">
        <v>187</v>
      </c>
      <c r="G33" s="26">
        <v>187</v>
      </c>
    </row>
    <row r="34" spans="1:7" x14ac:dyDescent="0.25">
      <c r="B34" s="6" t="s">
        <v>7</v>
      </c>
      <c r="C34" s="13" t="s">
        <v>128</v>
      </c>
      <c r="F34" s="25">
        <v>17</v>
      </c>
      <c r="G34" s="26">
        <v>17</v>
      </c>
    </row>
    <row r="35" spans="1:7" x14ac:dyDescent="0.25">
      <c r="B35" s="6" t="s">
        <v>9</v>
      </c>
      <c r="C35" s="42" t="s">
        <v>34</v>
      </c>
      <c r="D35" s="43"/>
      <c r="E35" s="44"/>
      <c r="F35" s="25">
        <v>497</v>
      </c>
      <c r="G35" s="26">
        <v>497</v>
      </c>
    </row>
    <row r="36" spans="1:7" x14ac:dyDescent="0.25">
      <c r="B36" s="6" t="s">
        <v>12</v>
      </c>
      <c r="C36" s="42" t="s">
        <v>129</v>
      </c>
      <c r="D36" s="43"/>
      <c r="E36" s="44"/>
      <c r="F36" s="17">
        <v>300</v>
      </c>
      <c r="G36" s="18">
        <v>300</v>
      </c>
    </row>
    <row r="37" spans="1:7" x14ac:dyDescent="0.25">
      <c r="A37" s="12" t="s">
        <v>130</v>
      </c>
      <c r="B37" s="6" t="s">
        <v>15</v>
      </c>
      <c r="C37" s="42" t="s">
        <v>35</v>
      </c>
      <c r="D37" s="43"/>
      <c r="E37" s="44"/>
      <c r="F37" s="15">
        <f>F33+F34+F35+F36</f>
        <v>1001</v>
      </c>
      <c r="G37" s="45">
        <f>G33+G34+G35+G36</f>
        <v>1001</v>
      </c>
    </row>
    <row r="38" spans="1:7" x14ac:dyDescent="0.25">
      <c r="B38" s="6" t="s">
        <v>18</v>
      </c>
      <c r="C38" s="13" t="s">
        <v>36</v>
      </c>
      <c r="F38" s="25">
        <v>497</v>
      </c>
      <c r="G38" s="26">
        <v>497</v>
      </c>
    </row>
    <row r="39" spans="1:7" x14ac:dyDescent="0.25">
      <c r="B39" s="6" t="s">
        <v>25</v>
      </c>
      <c r="C39" s="13" t="s">
        <v>37</v>
      </c>
      <c r="F39" s="25">
        <v>0</v>
      </c>
      <c r="G39" s="26">
        <v>493</v>
      </c>
    </row>
    <row r="40" spans="1:7" x14ac:dyDescent="0.25">
      <c r="B40" s="6" t="s">
        <v>28</v>
      </c>
      <c r="C40" s="13" t="s">
        <v>38</v>
      </c>
      <c r="F40" s="25">
        <v>135</v>
      </c>
      <c r="G40" s="26">
        <v>105</v>
      </c>
    </row>
    <row r="41" spans="1:7" x14ac:dyDescent="0.25">
      <c r="A41" s="12" t="s">
        <v>131</v>
      </c>
      <c r="B41" s="6" t="s">
        <v>31</v>
      </c>
      <c r="C41" s="19" t="s">
        <v>40</v>
      </c>
      <c r="F41" s="46">
        <f>F37+F38+F39+F40</f>
        <v>1633</v>
      </c>
      <c r="G41" s="47">
        <f>G37+G38+G39+G40</f>
        <v>2096</v>
      </c>
    </row>
    <row r="42" spans="1:7" x14ac:dyDescent="0.25">
      <c r="C42" s="13"/>
      <c r="F42" s="25"/>
      <c r="G42" s="26"/>
    </row>
    <row r="43" spans="1:7" x14ac:dyDescent="0.25">
      <c r="B43" s="6" t="s">
        <v>39</v>
      </c>
      <c r="C43" s="19" t="s">
        <v>13</v>
      </c>
      <c r="F43" s="46">
        <v>4478.0687006700009</v>
      </c>
      <c r="G43" s="47">
        <v>4808.6550565299995</v>
      </c>
    </row>
    <row r="44" spans="1:7" x14ac:dyDescent="0.25">
      <c r="C44" s="13"/>
      <c r="F44" s="25"/>
      <c r="G44" s="26"/>
    </row>
    <row r="45" spans="1:7" x14ac:dyDescent="0.25">
      <c r="A45" s="12" t="s">
        <v>135</v>
      </c>
      <c r="B45" s="6" t="s">
        <v>41</v>
      </c>
      <c r="C45" s="19" t="s">
        <v>43</v>
      </c>
      <c r="F45" s="48">
        <f>F41/(F43+F41)</f>
        <v>0.26722003629593666</v>
      </c>
      <c r="G45" s="49">
        <f>G41/(G43+G41)</f>
        <v>0.30356331820193272</v>
      </c>
    </row>
    <row r="46" spans="1:7" x14ac:dyDescent="0.25">
      <c r="D46" s="48"/>
      <c r="E46" s="29"/>
      <c r="F46" s="50"/>
    </row>
    <row r="47" spans="1:7" x14ac:dyDescent="0.25">
      <c r="D47" s="48"/>
      <c r="E47" s="29"/>
      <c r="F47" s="29"/>
    </row>
    <row r="48" spans="1:7" x14ac:dyDescent="0.25">
      <c r="D48" s="48"/>
    </row>
    <row r="49" spans="1:7" x14ac:dyDescent="0.25">
      <c r="C49" s="7" t="s">
        <v>44</v>
      </c>
      <c r="D49" s="48"/>
      <c r="E49" s="48"/>
      <c r="F49" s="9" t="str">
        <f>+$E$3</f>
        <v>H1 2018</v>
      </c>
      <c r="G49" s="11" t="str">
        <f>+$G$3</f>
        <v>H1 2019</v>
      </c>
    </row>
    <row r="50" spans="1:7" x14ac:dyDescent="0.25">
      <c r="B50" s="6" t="s">
        <v>5</v>
      </c>
      <c r="C50" s="13" t="s">
        <v>45</v>
      </c>
      <c r="D50" s="48"/>
      <c r="E50" s="48"/>
      <c r="F50" s="32">
        <v>29.431999999999999</v>
      </c>
      <c r="G50" s="16">
        <v>29.742242999999998</v>
      </c>
    </row>
    <row r="51" spans="1:7" x14ac:dyDescent="0.25">
      <c r="B51" s="6" t="s">
        <v>7</v>
      </c>
      <c r="C51" s="13" t="s">
        <v>46</v>
      </c>
      <c r="D51" s="48"/>
      <c r="E51" s="48"/>
      <c r="F51" s="32">
        <v>12.707000000000001</v>
      </c>
      <c r="G51" s="16">
        <v>15.125</v>
      </c>
    </row>
    <row r="52" spans="1:7" x14ac:dyDescent="0.25">
      <c r="B52" s="6" t="s">
        <v>9</v>
      </c>
      <c r="C52" s="13" t="s">
        <v>38</v>
      </c>
      <c r="D52" s="48"/>
      <c r="E52" s="48"/>
      <c r="F52" s="17">
        <v>4.5370000000000001E-2</v>
      </c>
      <c r="G52" s="18">
        <v>2.1888000000000001E-2</v>
      </c>
    </row>
    <row r="53" spans="1:7" x14ac:dyDescent="0.25">
      <c r="A53" s="12" t="s">
        <v>47</v>
      </c>
      <c r="B53" s="6" t="s">
        <v>12</v>
      </c>
      <c r="C53" s="19" t="s">
        <v>48</v>
      </c>
      <c r="D53" s="48"/>
      <c r="E53" s="48"/>
      <c r="F53" s="21">
        <f>F50+F51+F52</f>
        <v>42.184369999999994</v>
      </c>
      <c r="G53" s="22">
        <f>G50+G51+G52</f>
        <v>44.889130999999999</v>
      </c>
    </row>
    <row r="54" spans="1:7" x14ac:dyDescent="0.25">
      <c r="C54" s="19"/>
      <c r="D54" s="48"/>
      <c r="E54" s="48"/>
      <c r="F54" s="32"/>
      <c r="G54" s="52"/>
    </row>
    <row r="55" spans="1:7" x14ac:dyDescent="0.25">
      <c r="B55" s="6" t="s">
        <v>15</v>
      </c>
      <c r="C55" s="53" t="s">
        <v>49</v>
      </c>
      <c r="D55" s="54"/>
      <c r="E55" s="48"/>
      <c r="F55" s="32">
        <v>481</v>
      </c>
      <c r="G55" s="55">
        <v>680.42976981999993</v>
      </c>
    </row>
    <row r="56" spans="1:7" x14ac:dyDescent="0.25">
      <c r="B56" s="6" t="s">
        <v>18</v>
      </c>
      <c r="C56" s="13" t="s">
        <v>48</v>
      </c>
      <c r="D56" s="48"/>
      <c r="E56" s="48"/>
      <c r="F56" s="17">
        <v>12.752370000000001</v>
      </c>
      <c r="G56" s="56">
        <v>15.146888000000001</v>
      </c>
    </row>
    <row r="57" spans="1:7" x14ac:dyDescent="0.25">
      <c r="A57" s="12" t="s">
        <v>50</v>
      </c>
      <c r="B57" s="6" t="s">
        <v>25</v>
      </c>
      <c r="C57" s="19" t="s">
        <v>51</v>
      </c>
      <c r="D57" s="48"/>
      <c r="E57" s="48"/>
      <c r="F57" s="21">
        <f>F55+F56</f>
        <v>493.75236999999998</v>
      </c>
      <c r="G57" s="57">
        <f>G55+G56</f>
        <v>695.57665781999992</v>
      </c>
    </row>
    <row r="58" spans="1:7" x14ac:dyDescent="0.25">
      <c r="C58" s="13"/>
      <c r="D58" s="48"/>
      <c r="E58" s="48"/>
      <c r="G58" s="52"/>
    </row>
    <row r="59" spans="1:7" x14ac:dyDescent="0.25">
      <c r="A59" s="12" t="s">
        <v>52</v>
      </c>
      <c r="B59" s="6" t="s">
        <v>28</v>
      </c>
      <c r="C59" s="19" t="s">
        <v>53</v>
      </c>
      <c r="D59" s="48"/>
      <c r="E59" s="48"/>
      <c r="F59" s="58">
        <f>F57/F53</f>
        <v>11.704628278198776</v>
      </c>
      <c r="G59" s="59">
        <f>G57/G53</f>
        <v>15.495436029269534</v>
      </c>
    </row>
    <row r="60" spans="1:7" x14ac:dyDescent="0.25">
      <c r="D60" s="39"/>
      <c r="E60" s="58"/>
      <c r="F60" s="58"/>
      <c r="G60" s="60"/>
    </row>
    <row r="61" spans="1:7" x14ac:dyDescent="0.25">
      <c r="D61" s="39"/>
      <c r="E61" s="58"/>
      <c r="F61" s="58"/>
    </row>
    <row r="62" spans="1:7" x14ac:dyDescent="0.25">
      <c r="D62" s="39"/>
    </row>
    <row r="63" spans="1:7" hidden="1" x14ac:dyDescent="0.25">
      <c r="D63" s="39">
        <v>0</v>
      </c>
      <c r="E63" s="61"/>
      <c r="F63" s="10">
        <v>0</v>
      </c>
      <c r="G63" s="62">
        <v>0</v>
      </c>
    </row>
    <row r="64" spans="1:7" hidden="1" x14ac:dyDescent="0.25">
      <c r="B64" s="6" t="s">
        <v>5</v>
      </c>
      <c r="D64" s="39">
        <v>0</v>
      </c>
      <c r="F64" s="27">
        <v>0</v>
      </c>
      <c r="G64" s="62">
        <v>0</v>
      </c>
    </row>
    <row r="65" spans="1:7" hidden="1" x14ac:dyDescent="0.25">
      <c r="B65" s="6" t="s">
        <v>7</v>
      </c>
      <c r="D65" s="39">
        <v>0</v>
      </c>
      <c r="E65" s="63"/>
      <c r="F65" s="64">
        <v>0</v>
      </c>
      <c r="G65" s="62">
        <v>0</v>
      </c>
    </row>
    <row r="66" spans="1:7" hidden="1" x14ac:dyDescent="0.25">
      <c r="A66" s="12" t="s">
        <v>8</v>
      </c>
      <c r="B66" s="6" t="s">
        <v>9</v>
      </c>
      <c r="D66" s="39">
        <v>0</v>
      </c>
      <c r="E66" s="58"/>
      <c r="F66" s="58">
        <v>0</v>
      </c>
      <c r="G66" s="62">
        <v>0</v>
      </c>
    </row>
    <row r="67" spans="1:7" hidden="1" x14ac:dyDescent="0.25">
      <c r="D67" s="39">
        <v>0</v>
      </c>
      <c r="F67" s="27">
        <v>0</v>
      </c>
      <c r="G67" s="65">
        <v>0</v>
      </c>
    </row>
    <row r="68" spans="1:7" hidden="1" x14ac:dyDescent="0.25">
      <c r="B68" s="6" t="s">
        <v>12</v>
      </c>
      <c r="D68" s="39">
        <v>0</v>
      </c>
      <c r="F68" s="27">
        <v>0</v>
      </c>
      <c r="G68" s="65">
        <v>0</v>
      </c>
    </row>
    <row r="69" spans="1:7" hidden="1" x14ac:dyDescent="0.25">
      <c r="B69" s="97" t="s">
        <v>15</v>
      </c>
      <c r="D69" s="39">
        <v>0</v>
      </c>
      <c r="E69" s="63"/>
      <c r="F69" s="64">
        <v>0</v>
      </c>
      <c r="G69" s="65">
        <v>0</v>
      </c>
    </row>
    <row r="70" spans="1:7" hidden="1" x14ac:dyDescent="0.25">
      <c r="A70" s="12" t="s">
        <v>54</v>
      </c>
      <c r="B70" s="6" t="s">
        <v>18</v>
      </c>
      <c r="D70" s="39">
        <v>0</v>
      </c>
      <c r="E70" s="58"/>
      <c r="F70" s="58">
        <v>0</v>
      </c>
      <c r="G70" s="65">
        <v>0</v>
      </c>
    </row>
    <row r="71" spans="1:7" hidden="1" x14ac:dyDescent="0.25">
      <c r="D71" s="39">
        <v>0</v>
      </c>
      <c r="E71" s="58"/>
      <c r="F71" s="58">
        <v>0</v>
      </c>
      <c r="G71" s="65">
        <v>0</v>
      </c>
    </row>
    <row r="72" spans="1:7" hidden="1" x14ac:dyDescent="0.25">
      <c r="A72" s="12" t="s">
        <v>55</v>
      </c>
      <c r="B72" s="6" t="s">
        <v>15</v>
      </c>
      <c r="D72" s="39">
        <v>0</v>
      </c>
      <c r="E72" s="58"/>
      <c r="F72" s="58">
        <v>0</v>
      </c>
      <c r="G72" s="65">
        <v>0</v>
      </c>
    </row>
    <row r="73" spans="1:7" hidden="1" x14ac:dyDescent="0.25">
      <c r="B73" s="97"/>
      <c r="D73" s="39">
        <v>0</v>
      </c>
      <c r="E73" s="58"/>
      <c r="F73" s="58">
        <v>0</v>
      </c>
      <c r="G73" s="65">
        <v>0</v>
      </c>
    </row>
    <row r="74" spans="1:7" hidden="1" x14ac:dyDescent="0.25">
      <c r="D74" s="39">
        <v>0</v>
      </c>
      <c r="E74" s="58"/>
      <c r="F74" s="58">
        <v>0</v>
      </c>
      <c r="G74" s="65">
        <v>0</v>
      </c>
    </row>
    <row r="75" spans="1:7" hidden="1" x14ac:dyDescent="0.25">
      <c r="D75" s="39">
        <v>0</v>
      </c>
      <c r="F75" s="27">
        <v>0</v>
      </c>
      <c r="G75" s="65">
        <v>0</v>
      </c>
    </row>
    <row r="76" spans="1:7" x14ac:dyDescent="0.25">
      <c r="C76" s="7" t="s">
        <v>56</v>
      </c>
      <c r="D76" s="66"/>
      <c r="E76" s="39"/>
      <c r="F76" s="9" t="str">
        <f>$F$8</f>
        <v>FY 2018</v>
      </c>
      <c r="G76" s="11" t="str">
        <f>+$G$3</f>
        <v>H1 2019</v>
      </c>
    </row>
    <row r="77" spans="1:7" x14ac:dyDescent="0.25">
      <c r="B77" s="6" t="s">
        <v>5</v>
      </c>
      <c r="C77" s="42" t="s">
        <v>13</v>
      </c>
      <c r="D77" s="13"/>
      <c r="E77" s="39"/>
      <c r="F77" s="25">
        <v>4478.0687006700009</v>
      </c>
      <c r="G77" s="26">
        <v>4808.6550565299995</v>
      </c>
    </row>
    <row r="78" spans="1:7" x14ac:dyDescent="0.25">
      <c r="B78" s="6" t="s">
        <v>7</v>
      </c>
      <c r="C78" s="42" t="s">
        <v>57</v>
      </c>
      <c r="D78" s="13"/>
      <c r="E78" s="39"/>
      <c r="F78" s="17">
        <v>1498</v>
      </c>
      <c r="G78" s="18">
        <v>1991</v>
      </c>
    </row>
    <row r="79" spans="1:7" x14ac:dyDescent="0.25">
      <c r="A79" s="12" t="s">
        <v>8</v>
      </c>
      <c r="B79" s="6" t="s">
        <v>9</v>
      </c>
      <c r="C79" s="67" t="s">
        <v>58</v>
      </c>
      <c r="D79" s="19"/>
      <c r="E79" s="39"/>
      <c r="F79" s="46">
        <f>F77+F78</f>
        <v>5976.0687006700009</v>
      </c>
      <c r="G79" s="47">
        <f>G77+G78</f>
        <v>6799.6550565299995</v>
      </c>
    </row>
    <row r="80" spans="1:7" x14ac:dyDescent="0.25">
      <c r="C80" s="42"/>
      <c r="D80" s="13"/>
      <c r="E80" s="39"/>
      <c r="F80" s="25"/>
      <c r="G80" s="26"/>
    </row>
    <row r="81" spans="1:8" x14ac:dyDescent="0.25">
      <c r="B81" s="6" t="s">
        <v>12</v>
      </c>
      <c r="C81" s="67" t="s">
        <v>59</v>
      </c>
      <c r="D81" s="19"/>
      <c r="E81" s="39"/>
      <c r="F81" s="46">
        <v>5959.1749970000001</v>
      </c>
      <c r="G81" s="47">
        <v>7423.9929240599995</v>
      </c>
      <c r="H81" s="68"/>
    </row>
    <row r="82" spans="1:8" x14ac:dyDescent="0.25">
      <c r="C82" s="42"/>
      <c r="D82" s="13"/>
      <c r="E82" s="39"/>
      <c r="F82" s="69"/>
      <c r="G82" s="70"/>
    </row>
    <row r="83" spans="1:8" x14ac:dyDescent="0.25">
      <c r="A83" s="12" t="s">
        <v>60</v>
      </c>
      <c r="B83" s="6" t="s">
        <v>15</v>
      </c>
      <c r="C83" s="67" t="s">
        <v>61</v>
      </c>
      <c r="D83" s="19"/>
      <c r="E83" s="39"/>
      <c r="F83" s="29">
        <f>F81/F79</f>
        <v>0.99717310751998101</v>
      </c>
      <c r="G83" s="30">
        <f>G81/G79</f>
        <v>1.0918190499870168</v>
      </c>
    </row>
    <row r="84" spans="1:8" x14ac:dyDescent="0.25">
      <c r="A84" s="12" t="s">
        <v>62</v>
      </c>
      <c r="B84" s="6" t="s">
        <v>18</v>
      </c>
      <c r="C84" s="67" t="s">
        <v>63</v>
      </c>
      <c r="D84" s="19"/>
      <c r="E84" s="39"/>
      <c r="F84" s="71">
        <f>F81-F79</f>
        <v>-16.893703670000832</v>
      </c>
      <c r="G84" s="72">
        <f>G81-G79</f>
        <v>624.33786753000004</v>
      </c>
    </row>
    <row r="85" spans="1:8" x14ac:dyDescent="0.25">
      <c r="D85" s="19"/>
      <c r="E85" s="73"/>
      <c r="F85" s="71"/>
      <c r="G85" s="74"/>
    </row>
    <row r="86" spans="1:8" x14ac:dyDescent="0.25">
      <c r="D86" s="19"/>
      <c r="E86" s="73"/>
      <c r="F86" s="71"/>
      <c r="G86" s="74"/>
    </row>
    <row r="87" spans="1:8" x14ac:dyDescent="0.25">
      <c r="C87" s="7" t="s">
        <v>64</v>
      </c>
      <c r="D87" s="66"/>
      <c r="E87" s="73"/>
      <c r="F87" s="9" t="str">
        <f>$F$8</f>
        <v>FY 2018</v>
      </c>
      <c r="G87" s="11" t="str">
        <f>+$G$3</f>
        <v>H1 2019</v>
      </c>
    </row>
    <row r="88" spans="1:8" x14ac:dyDescent="0.25">
      <c r="B88" s="6" t="s">
        <v>5</v>
      </c>
      <c r="C88" s="53" t="s">
        <v>65</v>
      </c>
      <c r="D88" s="13"/>
      <c r="E88" s="73"/>
      <c r="F88" s="75">
        <v>6924.3014089999997</v>
      </c>
      <c r="G88" s="76">
        <v>7547</v>
      </c>
    </row>
    <row r="89" spans="1:8" x14ac:dyDescent="0.25">
      <c r="B89" s="6" t="s">
        <v>7</v>
      </c>
      <c r="C89" s="53" t="s">
        <v>66</v>
      </c>
      <c r="D89" s="13"/>
      <c r="E89" s="73"/>
      <c r="F89" s="75">
        <v>3522.9422500000001</v>
      </c>
      <c r="G89" s="76">
        <v>3952</v>
      </c>
    </row>
    <row r="90" spans="1:8" x14ac:dyDescent="0.25">
      <c r="A90" s="12" t="s">
        <v>67</v>
      </c>
      <c r="B90" s="6" t="s">
        <v>9</v>
      </c>
      <c r="C90" s="19" t="s">
        <v>68</v>
      </c>
      <c r="D90" s="13"/>
      <c r="E90" s="77"/>
      <c r="F90" s="78">
        <f>F88/F89</f>
        <v>1.9654881964074205</v>
      </c>
      <c r="G90" s="79">
        <f>G88/G89</f>
        <v>1.909665991902834</v>
      </c>
    </row>
    <row r="91" spans="1:8" x14ac:dyDescent="0.25">
      <c r="D91" s="73"/>
      <c r="E91" s="71"/>
      <c r="F91" s="71"/>
      <c r="G91" s="60"/>
    </row>
    <row r="92" spans="1:8" x14ac:dyDescent="0.25">
      <c r="C92" s="19"/>
      <c r="D92" s="73"/>
      <c r="E92" s="71"/>
      <c r="F92" s="71"/>
      <c r="G92" s="60"/>
    </row>
    <row r="93" spans="1:8" x14ac:dyDescent="0.25">
      <c r="C93" s="19"/>
      <c r="D93" s="73"/>
      <c r="E93" s="71"/>
      <c r="F93" s="71"/>
      <c r="G93" s="60"/>
    </row>
    <row r="94" spans="1:8" x14ac:dyDescent="0.25">
      <c r="C94" s="7" t="s">
        <v>69</v>
      </c>
      <c r="D94" s="73"/>
      <c r="E94" s="71"/>
      <c r="F94" s="9" t="str">
        <f>+$E$3</f>
        <v>H1 2018</v>
      </c>
      <c r="G94" s="11" t="str">
        <f>+$G$3</f>
        <v>H1 2019</v>
      </c>
    </row>
    <row r="95" spans="1:8" x14ac:dyDescent="0.25">
      <c r="B95" s="6" t="s">
        <v>5</v>
      </c>
      <c r="C95" s="19" t="s">
        <v>70</v>
      </c>
      <c r="D95" s="73"/>
      <c r="E95" s="71"/>
      <c r="F95" s="71">
        <v>1111.77230794</v>
      </c>
      <c r="G95" s="72">
        <v>1163.7236516000003</v>
      </c>
    </row>
    <row r="96" spans="1:8" x14ac:dyDescent="0.25">
      <c r="C96" s="13"/>
      <c r="D96" s="80"/>
      <c r="E96" s="75"/>
      <c r="F96" s="75"/>
      <c r="G96" s="76"/>
    </row>
    <row r="97" spans="1:7" x14ac:dyDescent="0.25">
      <c r="B97" s="6" t="s">
        <v>7</v>
      </c>
      <c r="C97" s="53" t="s">
        <v>71</v>
      </c>
      <c r="D97" s="80"/>
      <c r="E97" s="75"/>
      <c r="F97" s="75">
        <v>-775.78505888000007</v>
      </c>
      <c r="G97" s="76">
        <v>-798.64383421000014</v>
      </c>
    </row>
    <row r="98" spans="1:7" x14ac:dyDescent="0.25">
      <c r="C98" s="53"/>
      <c r="D98" s="80"/>
      <c r="E98" s="75"/>
      <c r="F98" s="75"/>
      <c r="G98" s="76"/>
    </row>
    <row r="99" spans="1:7" x14ac:dyDescent="0.25">
      <c r="B99" s="6" t="s">
        <v>9</v>
      </c>
      <c r="C99" s="53" t="s">
        <v>72</v>
      </c>
      <c r="F99" s="75">
        <v>-6.3990760000000009</v>
      </c>
      <c r="G99" s="76">
        <v>-4.9812508500000003</v>
      </c>
    </row>
    <row r="100" spans="1:7" x14ac:dyDescent="0.25">
      <c r="B100" s="6" t="s">
        <v>12</v>
      </c>
      <c r="C100" s="53" t="s">
        <v>73</v>
      </c>
      <c r="F100" s="81">
        <v>32.086199829999998</v>
      </c>
      <c r="G100" s="82">
        <v>33.055407930000001</v>
      </c>
    </row>
    <row r="101" spans="1:7" x14ac:dyDescent="0.25">
      <c r="A101" s="12" t="s">
        <v>74</v>
      </c>
      <c r="B101" s="6" t="s">
        <v>15</v>
      </c>
      <c r="C101" s="53" t="s">
        <v>75</v>
      </c>
      <c r="F101" s="75">
        <f>F99+F100</f>
        <v>25.687123829999997</v>
      </c>
      <c r="G101" s="76">
        <f>G99+G100</f>
        <v>28.074157079999999</v>
      </c>
    </row>
    <row r="102" spans="1:7" x14ac:dyDescent="0.25">
      <c r="C102" s="13"/>
      <c r="F102" s="75"/>
      <c r="G102" s="76"/>
    </row>
    <row r="103" spans="1:7" x14ac:dyDescent="0.25">
      <c r="A103" s="12" t="s">
        <v>76</v>
      </c>
      <c r="B103" s="6" t="s">
        <v>18</v>
      </c>
      <c r="C103" s="19" t="s">
        <v>77</v>
      </c>
      <c r="D103" s="39"/>
      <c r="E103" s="58"/>
      <c r="F103" s="71">
        <f>F97+F101</f>
        <v>-750.09793505000005</v>
      </c>
      <c r="G103" s="72">
        <f>G97+G101</f>
        <v>-770.56967713000017</v>
      </c>
    </row>
    <row r="104" spans="1:7" x14ac:dyDescent="0.25">
      <c r="E104" s="5"/>
      <c r="F104" s="75"/>
      <c r="G104" s="76"/>
    </row>
    <row r="105" spans="1:7" x14ac:dyDescent="0.25">
      <c r="B105" s="6" t="s">
        <v>25</v>
      </c>
      <c r="C105" s="53" t="s">
        <v>78</v>
      </c>
      <c r="E105" s="5"/>
      <c r="F105" s="75">
        <v>10.462751459999998</v>
      </c>
      <c r="G105" s="76">
        <v>17.959043050000002</v>
      </c>
    </row>
    <row r="106" spans="1:7" x14ac:dyDescent="0.25">
      <c r="B106" s="6" t="s">
        <v>28</v>
      </c>
      <c r="C106" s="53" t="s">
        <v>79</v>
      </c>
      <c r="F106" s="81">
        <v>-241.84364195999996</v>
      </c>
      <c r="G106" s="82">
        <v>-240.34988332</v>
      </c>
    </row>
    <row r="107" spans="1:7" x14ac:dyDescent="0.25">
      <c r="A107" s="12" t="s">
        <v>80</v>
      </c>
      <c r="B107" s="6" t="s">
        <v>31</v>
      </c>
      <c r="C107" s="19" t="s">
        <v>81</v>
      </c>
      <c r="D107" s="39"/>
      <c r="E107" s="58"/>
      <c r="F107" s="71">
        <f>F105+F106</f>
        <v>-231.38089049999996</v>
      </c>
      <c r="G107" s="72">
        <f>G105+G106</f>
        <v>-222.39084027000001</v>
      </c>
    </row>
    <row r="108" spans="1:7" x14ac:dyDescent="0.25">
      <c r="F108" s="75"/>
      <c r="G108" s="76"/>
    </row>
    <row r="109" spans="1:7" x14ac:dyDescent="0.25">
      <c r="B109" s="6" t="s">
        <v>39</v>
      </c>
      <c r="C109" s="53" t="s">
        <v>82</v>
      </c>
      <c r="F109" s="75">
        <v>-97.371418470000009</v>
      </c>
      <c r="G109" s="76">
        <v>-98.652076059999999</v>
      </c>
    </row>
    <row r="110" spans="1:7" x14ac:dyDescent="0.25">
      <c r="B110" s="6" t="s">
        <v>41</v>
      </c>
      <c r="C110" s="53" t="s">
        <v>83</v>
      </c>
      <c r="F110" s="81">
        <v>3.3687131600000004</v>
      </c>
      <c r="G110" s="82">
        <v>3.2251309200000002</v>
      </c>
    </row>
    <row r="111" spans="1:7" x14ac:dyDescent="0.25">
      <c r="A111" s="12" t="s">
        <v>84</v>
      </c>
      <c r="B111" s="6" t="s">
        <v>42</v>
      </c>
      <c r="C111" s="83" t="s">
        <v>85</v>
      </c>
      <c r="D111" s="39"/>
      <c r="E111" s="58"/>
      <c r="F111" s="71">
        <f>F109+F110</f>
        <v>-94.00270531000001</v>
      </c>
      <c r="G111" s="72">
        <f>G109+G110</f>
        <v>-95.426945140000001</v>
      </c>
    </row>
    <row r="112" spans="1:7" x14ac:dyDescent="0.25">
      <c r="C112" s="53"/>
      <c r="F112" s="75"/>
      <c r="G112" s="76"/>
    </row>
    <row r="113" spans="1:7" x14ac:dyDescent="0.25">
      <c r="A113" s="12" t="s">
        <v>86</v>
      </c>
      <c r="B113" s="6" t="s">
        <v>87</v>
      </c>
      <c r="C113" s="53" t="s">
        <v>88</v>
      </c>
      <c r="F113" s="40">
        <f>-F103/F95</f>
        <v>0.67468665093831537</v>
      </c>
      <c r="G113" s="84">
        <f>-G103/G95</f>
        <v>0.66215864571502536</v>
      </c>
    </row>
    <row r="114" spans="1:7" x14ac:dyDescent="0.25">
      <c r="A114" s="12" t="s">
        <v>89</v>
      </c>
      <c r="B114" s="6" t="s">
        <v>90</v>
      </c>
      <c r="C114" s="53" t="s">
        <v>91</v>
      </c>
      <c r="F114" s="40">
        <f>-F107/F95</f>
        <v>0.2081189546164583</v>
      </c>
      <c r="G114" s="84">
        <f>-G107/G95</f>
        <v>0.19110279314529313</v>
      </c>
    </row>
    <row r="115" spans="1:7" x14ac:dyDescent="0.25">
      <c r="A115" s="12" t="s">
        <v>92</v>
      </c>
      <c r="B115" s="6" t="s">
        <v>93</v>
      </c>
      <c r="C115" s="53" t="s">
        <v>94</v>
      </c>
      <c r="F115" s="40">
        <f>-F111/F95</f>
        <v>8.4552119744893961E-2</v>
      </c>
      <c r="G115" s="84">
        <f>-G111/G95</f>
        <v>8.2001379802496721E-2</v>
      </c>
    </row>
    <row r="116" spans="1:7" x14ac:dyDescent="0.25">
      <c r="A116" s="12" t="s">
        <v>95</v>
      </c>
      <c r="B116" s="6" t="s">
        <v>96</v>
      </c>
      <c r="C116" s="83" t="s">
        <v>97</v>
      </c>
      <c r="D116" s="39"/>
      <c r="E116" s="58"/>
      <c r="F116" s="85">
        <f>F113+F114+F115</f>
        <v>0.96735772529966768</v>
      </c>
      <c r="G116" s="30">
        <f>G113+G114+G115</f>
        <v>0.93526281866281513</v>
      </c>
    </row>
    <row r="117" spans="1:7" x14ac:dyDescent="0.25">
      <c r="F117" s="40"/>
      <c r="G117" s="41"/>
    </row>
    <row r="120" spans="1:7" x14ac:dyDescent="0.25">
      <c r="C120" s="7" t="s">
        <v>98</v>
      </c>
      <c r="F120" s="9" t="str">
        <f>+$E$3</f>
        <v>H1 2018</v>
      </c>
      <c r="G120" s="11" t="str">
        <f>+$G$3</f>
        <v>H1 2019</v>
      </c>
    </row>
    <row r="121" spans="1:7" x14ac:dyDescent="0.25">
      <c r="B121" s="6" t="s">
        <v>5</v>
      </c>
      <c r="C121" s="13" t="s">
        <v>99</v>
      </c>
      <c r="F121" s="32">
        <v>284.53870590000002</v>
      </c>
      <c r="G121" s="76">
        <v>344.55501750000002</v>
      </c>
    </row>
    <row r="122" spans="1:7" x14ac:dyDescent="0.25">
      <c r="B122" s="6" t="s">
        <v>7</v>
      </c>
      <c r="C122" s="13" t="s">
        <v>126</v>
      </c>
      <c r="F122" s="17">
        <v>-22.257731760000002</v>
      </c>
      <c r="G122" s="82">
        <v>-23.974878749999998</v>
      </c>
    </row>
    <row r="123" spans="1:7" x14ac:dyDescent="0.25">
      <c r="A123" s="12" t="s">
        <v>8</v>
      </c>
      <c r="B123" s="97" t="s">
        <v>9</v>
      </c>
      <c r="C123" s="19" t="s">
        <v>127</v>
      </c>
      <c r="F123" s="21">
        <f>SUM(F121:F122)</f>
        <v>262.28097414000001</v>
      </c>
      <c r="G123" s="72">
        <f>SUM(G121:G122)</f>
        <v>320.58013875</v>
      </c>
    </row>
    <row r="124" spans="1:7" x14ac:dyDescent="0.25">
      <c r="A124" s="6"/>
      <c r="B124" s="97"/>
      <c r="C124" s="19"/>
      <c r="G124" s="76"/>
    </row>
    <row r="125" spans="1:7" x14ac:dyDescent="0.25">
      <c r="B125" s="97" t="s">
        <v>12</v>
      </c>
      <c r="C125" s="53" t="s">
        <v>100</v>
      </c>
      <c r="F125" s="32">
        <v>141000000</v>
      </c>
      <c r="G125" s="76">
        <v>141000000</v>
      </c>
    </row>
    <row r="126" spans="1:7" x14ac:dyDescent="0.25">
      <c r="A126" s="12" t="s">
        <v>101</v>
      </c>
      <c r="B126" s="6" t="s">
        <v>15</v>
      </c>
      <c r="C126" s="83" t="s">
        <v>102</v>
      </c>
      <c r="D126" s="39"/>
      <c r="E126" s="58"/>
      <c r="F126" s="86">
        <f>F123*1000000/F125</f>
        <v>1.8601487527659575</v>
      </c>
      <c r="G126" s="87">
        <f>G123*1000000/G125</f>
        <v>2.273618005319149</v>
      </c>
    </row>
    <row r="130" spans="1:7" x14ac:dyDescent="0.25">
      <c r="C130" s="7" t="s">
        <v>103</v>
      </c>
      <c r="F130" s="9" t="str">
        <f>+$E$3</f>
        <v>H1 2018</v>
      </c>
      <c r="G130" s="11" t="str">
        <f>+$G$3&amp;"*"</f>
        <v>H1 2019*</v>
      </c>
    </row>
    <row r="131" spans="1:7" x14ac:dyDescent="0.25">
      <c r="B131" s="6" t="s">
        <v>5</v>
      </c>
      <c r="C131" s="13" t="s">
        <v>104</v>
      </c>
      <c r="F131" s="32">
        <v>92</v>
      </c>
      <c r="G131" s="76">
        <v>98</v>
      </c>
    </row>
    <row r="132" spans="1:7" x14ac:dyDescent="0.25">
      <c r="B132" s="6" t="s">
        <v>7</v>
      </c>
      <c r="C132" s="53" t="s">
        <v>100</v>
      </c>
      <c r="F132" s="17">
        <v>141000000</v>
      </c>
      <c r="G132" s="82">
        <v>141000000</v>
      </c>
    </row>
    <row r="133" spans="1:7" x14ac:dyDescent="0.25">
      <c r="A133" s="12" t="s">
        <v>67</v>
      </c>
      <c r="B133" s="97" t="s">
        <v>9</v>
      </c>
      <c r="C133" s="19" t="s">
        <v>105</v>
      </c>
      <c r="F133" s="88">
        <f>F131*1000000/F132</f>
        <v>0.65248226950354615</v>
      </c>
      <c r="G133" s="89">
        <f>G131*1000000/G132</f>
        <v>0.69503546099290781</v>
      </c>
    </row>
    <row r="134" spans="1:7" x14ac:dyDescent="0.25">
      <c r="C134" s="5" t="s">
        <v>106</v>
      </c>
    </row>
    <row r="137" spans="1:7" x14ac:dyDescent="0.25">
      <c r="C137" s="7" t="s">
        <v>107</v>
      </c>
      <c r="F137" s="9" t="str">
        <f>+$E$3</f>
        <v>H1 2018</v>
      </c>
      <c r="G137" s="11" t="str">
        <f>+$G$3</f>
        <v>H1 2019</v>
      </c>
    </row>
    <row r="138" spans="1:7" x14ac:dyDescent="0.25">
      <c r="B138" s="6" t="s">
        <v>5</v>
      </c>
      <c r="C138" s="13" t="s">
        <v>108</v>
      </c>
      <c r="F138" s="32">
        <v>363.11255422000005</v>
      </c>
      <c r="G138" s="76">
        <v>534.52835557000003</v>
      </c>
    </row>
    <row r="139" spans="1:7" x14ac:dyDescent="0.25">
      <c r="B139" s="6" t="s">
        <v>7</v>
      </c>
      <c r="C139" s="53" t="s">
        <v>100</v>
      </c>
      <c r="F139" s="17">
        <v>141000000</v>
      </c>
      <c r="G139" s="82">
        <v>141000000</v>
      </c>
    </row>
    <row r="140" spans="1:7" x14ac:dyDescent="0.25">
      <c r="A140" s="12" t="s">
        <v>67</v>
      </c>
      <c r="B140" s="97" t="s">
        <v>9</v>
      </c>
      <c r="C140" s="19" t="s">
        <v>109</v>
      </c>
      <c r="F140" s="88">
        <f>F138*1000000/F139</f>
        <v>2.5752663419858157</v>
      </c>
      <c r="G140" s="89">
        <f>G138*1000000/G139</f>
        <v>3.7909812451773055</v>
      </c>
    </row>
    <row r="143" spans="1:7" ht="14.25" customHeight="1" x14ac:dyDescent="0.25">
      <c r="C143" s="7" t="s">
        <v>110</v>
      </c>
      <c r="F143" s="9" t="str">
        <f>+$E$3</f>
        <v>H1 2018</v>
      </c>
      <c r="G143" s="11" t="str">
        <f>+$G$3</f>
        <v>H1 2019</v>
      </c>
    </row>
    <row r="144" spans="1:7" x14ac:dyDescent="0.25">
      <c r="B144" s="6" t="s">
        <v>5</v>
      </c>
      <c r="C144" s="13" t="s">
        <v>111</v>
      </c>
      <c r="F144" s="75">
        <v>1352.62148897</v>
      </c>
      <c r="G144" s="76">
        <v>1414.7855788200002</v>
      </c>
    </row>
    <row r="145" spans="1:7" x14ac:dyDescent="0.25">
      <c r="B145" s="6" t="s">
        <v>7</v>
      </c>
      <c r="C145" s="53" t="s">
        <v>112</v>
      </c>
      <c r="F145" s="81"/>
      <c r="G145" s="82">
        <v>17.562968590000001</v>
      </c>
    </row>
    <row r="146" spans="1:7" ht="15.75" x14ac:dyDescent="0.25">
      <c r="A146" s="103" t="s">
        <v>133</v>
      </c>
      <c r="B146" s="97" t="s">
        <v>9</v>
      </c>
      <c r="C146" s="19" t="s">
        <v>113</v>
      </c>
      <c r="F146" s="78"/>
      <c r="G146" s="30">
        <f>(G144-G145)/(F144-F145)-1</f>
        <v>3.297383756187644E-2</v>
      </c>
    </row>
    <row r="149" spans="1:7" ht="14.25" customHeight="1" x14ac:dyDescent="0.25">
      <c r="C149" s="7" t="s">
        <v>114</v>
      </c>
      <c r="E149" s="9" t="str">
        <f>$D$8</f>
        <v>FY 2017</v>
      </c>
      <c r="F149" s="9" t="str">
        <f>$F$8</f>
        <v>FY 2018</v>
      </c>
      <c r="G149" s="11" t="str">
        <f>+$G$3</f>
        <v>H1 2019</v>
      </c>
    </row>
    <row r="150" spans="1:7" x14ac:dyDescent="0.25">
      <c r="A150" s="90"/>
      <c r="B150" s="6" t="s">
        <v>5</v>
      </c>
      <c r="C150" s="100" t="s">
        <v>115</v>
      </c>
      <c r="E150" s="25">
        <v>28795.579533609998</v>
      </c>
      <c r="F150" s="25">
        <v>30813.731466380003</v>
      </c>
      <c r="G150" s="26">
        <v>34941.220874569997</v>
      </c>
    </row>
    <row r="151" spans="1:7" x14ac:dyDescent="0.25">
      <c r="A151" s="90"/>
      <c r="B151" s="6" t="s">
        <v>7</v>
      </c>
      <c r="C151" s="100" t="s">
        <v>116</v>
      </c>
      <c r="E151" s="17">
        <v>9804.4144029500003</v>
      </c>
      <c r="F151" s="17">
        <v>10221.992047950002</v>
      </c>
      <c r="G151" s="18">
        <v>12045.729014709999</v>
      </c>
    </row>
    <row r="152" spans="1:7" x14ac:dyDescent="0.25">
      <c r="A152" s="12" t="s">
        <v>8</v>
      </c>
      <c r="B152" s="6" t="s">
        <v>9</v>
      </c>
      <c r="C152" s="91" t="s">
        <v>117</v>
      </c>
      <c r="E152" s="25">
        <f>E150+E151</f>
        <v>38599.99393656</v>
      </c>
      <c r="F152" s="25">
        <f t="shared" ref="F152:G152" si="0">F150+F151</f>
        <v>41035.723514330006</v>
      </c>
      <c r="G152" s="26">
        <f t="shared" si="0"/>
        <v>46986.949889279997</v>
      </c>
    </row>
    <row r="153" spans="1:7" x14ac:dyDescent="0.25">
      <c r="A153" s="90"/>
      <c r="B153" s="6" t="s">
        <v>12</v>
      </c>
      <c r="C153" s="101" t="s">
        <v>118</v>
      </c>
      <c r="E153" s="25">
        <v>2857.7576242599998</v>
      </c>
      <c r="F153" s="25">
        <v>2914.0563928000001</v>
      </c>
      <c r="G153" s="26">
        <v>6071.1260994799995</v>
      </c>
    </row>
    <row r="154" spans="1:7" x14ac:dyDescent="0.25">
      <c r="A154" s="90"/>
      <c r="B154" s="6" t="s">
        <v>15</v>
      </c>
      <c r="C154" s="101" t="s">
        <v>119</v>
      </c>
      <c r="E154" s="25">
        <v>3203.0656614581458</v>
      </c>
      <c r="F154" s="25">
        <v>2897.4656594700004</v>
      </c>
      <c r="G154" s="26">
        <v>2900.6034719100003</v>
      </c>
    </row>
    <row r="155" spans="1:7" x14ac:dyDescent="0.25">
      <c r="A155" s="90"/>
      <c r="B155" s="6" t="s">
        <v>18</v>
      </c>
      <c r="C155" s="102" t="s">
        <v>120</v>
      </c>
      <c r="E155" s="17">
        <v>714.66689566000014</v>
      </c>
      <c r="F155" s="17">
        <v>822.798</v>
      </c>
      <c r="G155" s="18">
        <v>769.91951938000011</v>
      </c>
    </row>
    <row r="156" spans="1:7" x14ac:dyDescent="0.25">
      <c r="A156" s="12" t="s">
        <v>132</v>
      </c>
      <c r="B156" s="6" t="s">
        <v>25</v>
      </c>
      <c r="C156" s="92" t="s">
        <v>121</v>
      </c>
      <c r="E156" s="46">
        <f>E152-(E153+E154+E155)</f>
        <v>31824.503755181853</v>
      </c>
      <c r="F156" s="46">
        <f t="shared" ref="F156:G156" si="1">F152-(F153+F154+F155)</f>
        <v>34401.403462060007</v>
      </c>
      <c r="G156" s="47">
        <f t="shared" si="1"/>
        <v>37245.300798509998</v>
      </c>
    </row>
    <row r="157" spans="1:7" x14ac:dyDescent="0.25">
      <c r="A157" s="93" t="s">
        <v>27</v>
      </c>
      <c r="B157" s="6" t="s">
        <v>28</v>
      </c>
      <c r="C157" s="92" t="s">
        <v>122</v>
      </c>
      <c r="F157" s="46">
        <f>AVERAGE(E156,F156)</f>
        <v>33112.953608620926</v>
      </c>
      <c r="G157" s="47">
        <f>AVERAGE(F156,G156)</f>
        <v>35823.352130284999</v>
      </c>
    </row>
    <row r="158" spans="1:7" x14ac:dyDescent="0.25">
      <c r="C158" s="94"/>
      <c r="F158" s="25"/>
      <c r="G158" s="26"/>
    </row>
    <row r="159" spans="1:7" x14ac:dyDescent="0.25">
      <c r="A159" s="90"/>
      <c r="B159" s="6" t="s">
        <v>31</v>
      </c>
      <c r="C159" s="94" t="s">
        <v>136</v>
      </c>
      <c r="F159" s="25">
        <v>-185.21831703000004</v>
      </c>
      <c r="G159" s="26">
        <v>-184.53909586</v>
      </c>
    </row>
    <row r="160" spans="1:7" x14ac:dyDescent="0.25">
      <c r="C160" s="95"/>
      <c r="F160" s="25"/>
      <c r="G160" s="26"/>
    </row>
    <row r="161" spans="1:7" s="39" customFormat="1" x14ac:dyDescent="0.25">
      <c r="A161" s="12" t="s">
        <v>134</v>
      </c>
      <c r="B161" s="36" t="s">
        <v>39</v>
      </c>
      <c r="C161" s="96" t="s">
        <v>123</v>
      </c>
      <c r="E161" s="58"/>
      <c r="F161" s="46">
        <f>-F159/F157*10000</f>
        <v>55.935305324674694</v>
      </c>
      <c r="G161" s="47">
        <f>-G159/G157*10000</f>
        <v>51.513631440423183</v>
      </c>
    </row>
  </sheetData>
  <pageMargins left="0.25" right="0.25" top="0.75" bottom="0.75" header="0.3" footer="0.3"/>
  <pageSetup paperSize="9" scale="67" fitToHeight="0" orientation="portrait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HALF YEAR 2019</vt:lpstr>
      <vt:lpstr>'HALF YEAR 2019'!Afdrukbereik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 M.L. van (Marcel)</dc:creator>
  <cp:lastModifiedBy>Scholten B.J. (Barth)</cp:lastModifiedBy>
  <cp:lastPrinted>2019-08-22T12:45:59Z</cp:lastPrinted>
  <dcterms:created xsi:type="dcterms:W3CDTF">2019-08-14T12:13:42Z</dcterms:created>
  <dcterms:modified xsi:type="dcterms:W3CDTF">2019-08-22T15:03:16Z</dcterms:modified>
</cp:coreProperties>
</file>