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defaultThemeVersion="124226"/>
  <mc:AlternateContent xmlns:mc="http://schemas.openxmlformats.org/markup-compatibility/2006">
    <mc:Choice Requires="x15">
      <x15ac:absPath xmlns:x15ac="http://schemas.microsoft.com/office/spreadsheetml/2010/11/ac" url="\\business.finl.fortis\groups\ARC\MRC\2023\Reporting\2023 12\E02 Persbericht - financiele analyse\06 Website tabellen\"/>
    </mc:Choice>
  </mc:AlternateContent>
  <xr:revisionPtr revIDLastSave="0" documentId="8_{9CCCC3AC-2593-4961-95B7-0268D330B0BC}" xr6:coauthVersionLast="47" xr6:coauthVersionMax="47" xr10:uidLastSave="{00000000-0000-0000-0000-000000000000}"/>
  <bookViews>
    <workbookView xWindow="-120" yWindow="-120" windowWidth="29040" windowHeight="17640" xr2:uid="{00000000-000D-0000-FFFF-FFFF00000000}"/>
  </bookViews>
  <sheets>
    <sheet name="FY 2023" sheetId="1" r:id="rId1"/>
  </sheets>
  <definedNames>
    <definedName name="_Order1" hidden="1">0</definedName>
    <definedName name="_v3" hidden="1">{"BRIEF",#N/A,FALSE,"BRIEF";"OFFBAL",#N/A,FALSE,"OFFBAL"}</definedName>
    <definedName name="anscount" hidden="1">1</definedName>
    <definedName name="TekstcontroleSchermExcel" hidden="1">{"BRIEF",#N/A,FALSE,"BRIEF";"OFFBAL",#N/A,FALSE,"OFFBAL"}</definedName>
    <definedName name="wrn.TEST." hidden="1">{"BRIEF",#N/A,FALSE,"BRIEF";"OFFBAL",#N/A,FALSE,"OFFBAL"}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5" i="1" l="1"/>
  <c r="E165" i="1"/>
  <c r="F161" i="1"/>
  <c r="E161" i="1"/>
  <c r="E95" i="1" l="1"/>
  <c r="E136" i="1"/>
  <c r="E117" i="1"/>
  <c r="E120" i="1" s="1"/>
  <c r="E140" i="1"/>
  <c r="E147" i="1" s="1"/>
  <c r="E113" i="1"/>
  <c r="E128" i="1" s="1"/>
  <c r="E148" i="1"/>
  <c r="E145" i="1"/>
  <c r="E149" i="1" s="1"/>
  <c r="E125" i="1"/>
  <c r="E91" i="1"/>
  <c r="E97" i="1" s="1"/>
  <c r="E87" i="1"/>
  <c r="E105" i="1" s="1"/>
  <c r="F95" i="1"/>
  <c r="E102" i="1"/>
  <c r="E104" i="1" l="1"/>
  <c r="E106" i="1"/>
  <c r="E129" i="1"/>
  <c r="E127" i="1"/>
  <c r="E130" i="1" s="1"/>
  <c r="E150" i="1"/>
  <c r="E107" i="1" l="1"/>
  <c r="F171" i="1" l="1"/>
  <c r="F145" i="1" l="1"/>
  <c r="F140" i="1"/>
  <c r="F133" i="1"/>
  <c r="E133" i="1"/>
  <c r="E176" i="1"/>
  <c r="E168" i="1"/>
  <c r="E154" i="1"/>
  <c r="F110" i="1"/>
  <c r="E110" i="1"/>
  <c r="E179" i="1" l="1"/>
  <c r="F136" i="1"/>
  <c r="F148" i="1" s="1"/>
  <c r="F117" i="1"/>
  <c r="F120" i="1" s="1"/>
  <c r="F125" i="1"/>
  <c r="F113" i="1"/>
  <c r="F128" i="1" s="1"/>
  <c r="F147" i="1" l="1"/>
  <c r="F127" i="1"/>
  <c r="F149" i="1"/>
  <c r="F150" i="1"/>
  <c r="F129" i="1"/>
  <c r="F130" i="1" l="1"/>
  <c r="E84" i="1" l="1"/>
  <c r="E18" i="1" l="1"/>
  <c r="E8" i="1" l="1"/>
  <c r="F179" i="1" l="1"/>
  <c r="F91" i="1" l="1"/>
  <c r="F97" i="1" s="1"/>
  <c r="F87" i="1"/>
  <c r="F105" i="1" s="1"/>
  <c r="E12" i="1" l="1"/>
  <c r="E14" i="1" s="1"/>
  <c r="F44" i="1" l="1"/>
  <c r="F168" i="1"/>
  <c r="F12" i="1" l="1"/>
  <c r="F176" i="1" l="1"/>
  <c r="F154" i="1"/>
  <c r="F84" i="1"/>
  <c r="F77" i="1"/>
  <c r="F64" i="1"/>
  <c r="F50" i="1"/>
  <c r="F32" i="1"/>
  <c r="D21" i="1" l="1"/>
  <c r="F10" i="1" l="1"/>
  <c r="E50" i="1"/>
  <c r="E77" i="1" l="1"/>
  <c r="E32" i="1"/>
  <c r="E64" i="1"/>
  <c r="E21" i="1"/>
  <c r="F18" i="1" l="1"/>
  <c r="F21" i="1" s="1"/>
  <c r="F80" i="1" l="1"/>
  <c r="F54" i="1" l="1"/>
  <c r="F57" i="1" s="1"/>
  <c r="F35" i="1" l="1"/>
  <c r="F40" i="1" s="1"/>
  <c r="F22" i="1" l="1"/>
  <c r="F25" i="1" l="1"/>
  <c r="E35" i="1" l="1"/>
  <c r="E40" i="1" s="1"/>
  <c r="E22" i="1"/>
  <c r="E25" i="1" l="1"/>
  <c r="F26" i="1" s="1"/>
  <c r="F46" i="1" l="1"/>
  <c r="E54" i="1" l="1"/>
  <c r="E80" i="1"/>
  <c r="E57" i="1" l="1"/>
  <c r="E58" i="1" s="1"/>
  <c r="E60" i="1" s="1"/>
  <c r="F8" i="1" l="1"/>
  <c r="F14" i="1" s="1"/>
  <c r="D22" i="1" l="1"/>
  <c r="D25" i="1" s="1"/>
  <c r="E26" i="1" l="1"/>
  <c r="F102" i="1" l="1"/>
  <c r="F106" i="1" s="1"/>
  <c r="F104" i="1" l="1"/>
  <c r="F107" i="1" s="1"/>
  <c r="E158" i="1" l="1"/>
  <c r="E44" i="1" l="1"/>
  <c r="E46" i="1" s="1"/>
  <c r="E68" i="1" l="1"/>
  <c r="E72" i="1" l="1"/>
  <c r="E73" i="1"/>
  <c r="F68" i="1" l="1"/>
  <c r="F73" i="1" l="1"/>
  <c r="F72" i="1"/>
  <c r="E28" i="1" l="1"/>
  <c r="F58" i="1" l="1"/>
  <c r="F60" i="1" s="1"/>
  <c r="F158" i="1" l="1"/>
  <c r="F28" i="1" l="1"/>
</calcChain>
</file>

<file path=xl/sharedStrings.xml><?xml version="1.0" encoding="utf-8"?>
<sst xmlns="http://schemas.openxmlformats.org/spreadsheetml/2006/main" count="266" uniqueCount="138">
  <si>
    <t>a.s.r.</t>
  </si>
  <si>
    <t>FULL YEAR 2023 AND 2022</t>
  </si>
  <si>
    <t>all 2022 IFRS figures restated to IFRS17 / 9</t>
  </si>
  <si>
    <t>(in € millions, unless stated otherwise)</t>
  </si>
  <si>
    <t>Return on Equity</t>
  </si>
  <si>
    <t>FY 2022</t>
  </si>
  <si>
    <t>FY 2023</t>
  </si>
  <si>
    <t>a</t>
  </si>
  <si>
    <t>Net result attributable to holders of equity instruments</t>
  </si>
  <si>
    <t>b</t>
  </si>
  <si>
    <t>Costs for hybrid capital</t>
  </si>
  <si>
    <t>a + b =</t>
  </si>
  <si>
    <t>c</t>
  </si>
  <si>
    <t>Net result excl. costs for hybrid capital</t>
  </si>
  <si>
    <t>FY 2021</t>
  </si>
  <si>
    <t>d</t>
  </si>
  <si>
    <t>Total equity attributable to shareholders</t>
  </si>
  <si>
    <t>average d =</t>
  </si>
  <si>
    <t>e</t>
  </si>
  <si>
    <t>Average total equity attributable to shareholders</t>
  </si>
  <si>
    <t>c / e =</t>
  </si>
  <si>
    <t>f</t>
  </si>
  <si>
    <t>Return on equity (%)</t>
  </si>
  <si>
    <t>Operating return on equity</t>
  </si>
  <si>
    <t>Operating net result (attributable to shareholders)</t>
  </si>
  <si>
    <t>-/- Unrealised gains / losses for recyclable items (as part of equity)</t>
  </si>
  <si>
    <t>-/- Equity of non-core (Real Estate Development)</t>
  </si>
  <si>
    <t>b + c + d =</t>
  </si>
  <si>
    <t>Total equity attributable to shareholders (excl, unrealised gains / losses and non-core operations)</t>
  </si>
  <si>
    <t>average e =</t>
  </si>
  <si>
    <t>Average total equity attributable to shareholders - adjusted</t>
  </si>
  <si>
    <t>a / f =</t>
  </si>
  <si>
    <t>g</t>
  </si>
  <si>
    <t>Operating return on equity (%)</t>
  </si>
  <si>
    <t>Financial leverage</t>
  </si>
  <si>
    <t>5% hybrid</t>
  </si>
  <si>
    <t>4,625% hybrid</t>
  </si>
  <si>
    <t>Hybrid capital</t>
  </si>
  <si>
    <t>5.125% subordinated liability</t>
  </si>
  <si>
    <t>3.375% subordinated liability</t>
  </si>
  <si>
    <t>7.000% subordinated liability</t>
  </si>
  <si>
    <t>Senior loans</t>
  </si>
  <si>
    <t>c + d + e + f + g =</t>
  </si>
  <si>
    <t>h</t>
  </si>
  <si>
    <t>Total debt</t>
  </si>
  <si>
    <t>i</t>
  </si>
  <si>
    <t>j</t>
  </si>
  <si>
    <t>Contractual Service Margin - net of tax</t>
  </si>
  <si>
    <t>i + j =</t>
  </si>
  <si>
    <t>k</t>
  </si>
  <si>
    <t>Total equity and CSM</t>
  </si>
  <si>
    <t>h / (h + k) =</t>
  </si>
  <si>
    <t>l</t>
  </si>
  <si>
    <t>Financial leverage (%)</t>
  </si>
  <si>
    <t>Interest coverage ratio (operational result)</t>
  </si>
  <si>
    <t>Hybrid capital (T1, T2)</t>
  </si>
  <si>
    <t>Subordinated loans</t>
  </si>
  <si>
    <t>a + b + c =</t>
  </si>
  <si>
    <t>Total interest expenses</t>
  </si>
  <si>
    <t>Operational result before tax</t>
  </si>
  <si>
    <t>e + f =</t>
  </si>
  <si>
    <t>Operational result before tax and interest expenses</t>
  </si>
  <si>
    <t>g / d =</t>
  </si>
  <si>
    <t>Interest coverage ratio</t>
  </si>
  <si>
    <t>Double leverage</t>
  </si>
  <si>
    <t>Other equity instruments and subordinated liabilities (hybrid)</t>
  </si>
  <si>
    <t>Total available capital (incl. CSM)</t>
  </si>
  <si>
    <t>Total invested capital</t>
  </si>
  <si>
    <t>e / d =</t>
  </si>
  <si>
    <t>Double leverage (%)</t>
  </si>
  <si>
    <t>e - d =</t>
  </si>
  <si>
    <t>Double leverage (€ m)</t>
  </si>
  <si>
    <t>Solvency II ratio (including financial institutions)</t>
  </si>
  <si>
    <t>Eligible own funds</t>
  </si>
  <si>
    <t>Required capital</t>
  </si>
  <si>
    <t>a / b =</t>
  </si>
  <si>
    <t>Solvency II ratio (after dividend) (%)</t>
  </si>
  <si>
    <t>Combined ratio Disability</t>
  </si>
  <si>
    <t xml:space="preserve">Insurance Contract Revenue </t>
  </si>
  <si>
    <t>Insurance contract revenue ceded to reinsurers</t>
  </si>
  <si>
    <t>Net insurance contract revenue</t>
  </si>
  <si>
    <t>Incurred claims and benefits</t>
  </si>
  <si>
    <t>Insurance claims and benefits recovered from reinsurers</t>
  </si>
  <si>
    <t>d + e =</t>
  </si>
  <si>
    <t>Net Insurance claims and benefits (before corrections)</t>
  </si>
  <si>
    <t>Correction: incidental 'NEA Inflation in LIC'</t>
  </si>
  <si>
    <t>Correction: incidental 'changes future services loss component'</t>
  </si>
  <si>
    <t xml:space="preserve">g + h = </t>
  </si>
  <si>
    <t>Total corrections on claims and benefits</t>
  </si>
  <si>
    <t>f + i =</t>
  </si>
  <si>
    <t>Net insurance claims and benefits (after corrections)</t>
  </si>
  <si>
    <t>Insurance service operating expenses</t>
  </si>
  <si>
    <t>- of which: Commissions</t>
  </si>
  <si>
    <t>k - l =</t>
  </si>
  <si>
    <t>m</t>
  </si>
  <si>
    <t>- of which: other insurance service operating expenses</t>
  </si>
  <si>
    <t>-j / c =</t>
  </si>
  <si>
    <t>n</t>
  </si>
  <si>
    <t>Claims ratio (%)</t>
  </si>
  <si>
    <t>-l / c =</t>
  </si>
  <si>
    <t>o</t>
  </si>
  <si>
    <t>Commission ratio (%)</t>
  </si>
  <si>
    <t>-m / c =</t>
  </si>
  <si>
    <t>p</t>
  </si>
  <si>
    <t>Expense ratio (%)</t>
  </si>
  <si>
    <t>n + o + p =</t>
  </si>
  <si>
    <t>q</t>
  </si>
  <si>
    <t>Combined ratio Disability (%)</t>
  </si>
  <si>
    <t>Combined ratio P&amp;C</t>
  </si>
  <si>
    <t>Net Insurance claims and benefits</t>
  </si>
  <si>
    <t>f + g =</t>
  </si>
  <si>
    <t>i - j =</t>
  </si>
  <si>
    <t>-h / c =</t>
  </si>
  <si>
    <t>-k / c =</t>
  </si>
  <si>
    <t>l + m + n =</t>
  </si>
  <si>
    <t>Combined ratio P&amp;C (%)</t>
  </si>
  <si>
    <t>Combined ratio Health</t>
  </si>
  <si>
    <t>Net Incurred claims and benefits</t>
  </si>
  <si>
    <t>g - h =</t>
  </si>
  <si>
    <t>-f / c =</t>
  </si>
  <si>
    <t>-i / c =</t>
  </si>
  <si>
    <t>j + k + l =</t>
  </si>
  <si>
    <t>Combined ratio Health (%)</t>
  </si>
  <si>
    <t>Operating result per share (gross)</t>
  </si>
  <si>
    <t>Operating result, attributable to shareholders</t>
  </si>
  <si>
    <t>Number of shares outstanding (weighted average)</t>
  </si>
  <si>
    <t>Operating result per share (€)</t>
  </si>
  <si>
    <t>OCC per share</t>
  </si>
  <si>
    <t>OCC</t>
  </si>
  <si>
    <t>OCC per share (€)</t>
  </si>
  <si>
    <t>(Interim) Dividend per share</t>
  </si>
  <si>
    <t>(Interim) Dividend</t>
  </si>
  <si>
    <t>Number of shares outstanding (as per end of period)</t>
  </si>
  <si>
    <t>Dividend per share (€) *</t>
  </si>
  <si>
    <t>* due to share issue for the financing of the Aegon Nederland transaction in Q4 2022, there is no mathematical relation between dividend paid, number of shares outstanding and DPS in 2022</t>
  </si>
  <si>
    <t>Basic earnings per share (on IFRS basis)</t>
  </si>
  <si>
    <t>Profit for the year attributable to shareholders</t>
  </si>
  <si>
    <t>Basic earnings per share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</si>
</sst>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 #,##0.0_ ;_ * \-#,##0.0_ ;_ * &quot;-&quot;??_ ;_ @_ "/>
    <numFmt numFmtId="165" formatCode="_ * #,##0_ ;_ * \-#,##0_ ;_ * &quot;-&quot;??_ ;_ @_ "/>
    <numFmt numFmtId="166" formatCode="0.0%"/>
    <numFmt numFmtId="167" formatCode="_(* #,##0.00_);_(* \(#,##0.00\);_(* &quot;-&quot;??_);_(@_)"/>
    <numFmt numFmtId="168" formatCode="0_ ;\-0\ "/>
    <numFmt numFmtId="169" formatCode="_ * #,##0.000_ ;_ * \-#,##0.000_ ;_ * &quot;-&quot;??_ ;_ @_ "/>
    <numFmt numFmtId="170" formatCode="0.0000%"/>
  </numFmts>
  <fonts count="15">
    <font>
      <sz val="11"/>
      <color theme="1"/>
      <name val="Calibri"/>
      <family val="2"/>
      <scheme val="minor"/>
    </font>
    <font>
      <sz val="11"/>
      <color theme="1"/>
      <name val="Calibri"/>
      <family val="2"/>
      <scheme val="minor"/>
    </font>
    <font>
      <sz val="10"/>
      <name val="Arial"/>
      <family val="2"/>
    </font>
    <font>
      <u/>
      <sz val="8"/>
      <color indexed="12"/>
      <name val="Arial"/>
      <family val="2"/>
    </font>
    <font>
      <sz val="10"/>
      <color theme="1"/>
      <name val="Arial"/>
      <family val="2"/>
    </font>
    <font>
      <b/>
      <sz val="10"/>
      <color theme="1"/>
      <name val="Arial"/>
      <family val="2"/>
    </font>
    <font>
      <sz val="8"/>
      <color theme="1"/>
      <name val="Arial"/>
      <family val="2"/>
    </font>
    <font>
      <b/>
      <sz val="10"/>
      <name val="Arial"/>
      <family val="2"/>
    </font>
    <font>
      <b/>
      <sz val="10"/>
      <color rgb="FFFF0000"/>
      <name val="Arial"/>
      <family val="2"/>
    </font>
    <font>
      <b/>
      <sz val="14"/>
      <name val="Arial"/>
      <family val="2"/>
    </font>
    <font>
      <sz val="10"/>
      <color rgb="FFFF0000"/>
      <name val="Arial"/>
      <family val="2"/>
    </font>
    <font>
      <b/>
      <sz val="11"/>
      <color theme="1"/>
      <name val="Calibri"/>
      <family val="2"/>
      <scheme val="minor"/>
    </font>
    <font>
      <i/>
      <sz val="9"/>
      <color theme="1"/>
      <name val="Arial"/>
      <family val="2"/>
    </font>
    <font>
      <sz val="14"/>
      <name val="Arial"/>
      <family val="2"/>
    </font>
    <font>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EBEBEB"/>
        <bgColor indexed="64"/>
      </patternFill>
    </fill>
    <fill>
      <patternFill patternType="solid">
        <fgColor rgb="FFEEF4E3"/>
        <bgColor indexed="64"/>
      </patternFill>
    </fill>
  </fills>
  <borders count="5">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theme="0"/>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1" fillId="0" borderId="0"/>
    <xf numFmtId="0" fontId="2" fillId="0" borderId="0"/>
    <xf numFmtId="0" fontId="3" fillId="0" borderId="0" applyNumberFormat="0" applyFill="0" applyBorder="0" applyAlignment="0" applyProtection="0">
      <alignment vertical="top"/>
      <protection locked="0"/>
    </xf>
    <xf numFmtId="167" fontId="2" fillId="0" borderId="0" applyFont="0" applyFill="0" applyBorder="0" applyAlignment="0" applyProtection="0"/>
    <xf numFmtId="0" fontId="6" fillId="0" borderId="0">
      <alignment vertical="top"/>
    </xf>
    <xf numFmtId="0" fontId="11" fillId="0" borderId="0" applyNumberFormat="0" applyFill="0" applyBorder="0" applyAlignment="0" applyProtection="0">
      <alignment horizontal="right" wrapText="1"/>
    </xf>
    <xf numFmtId="0" fontId="1" fillId="0" borderId="0" applyNumberFormat="0" applyFont="0" applyFill="0" applyBorder="0" applyProtection="0">
      <alignment horizontal="left" wrapText="1" indent="1"/>
    </xf>
  </cellStyleXfs>
  <cellXfs count="98">
    <xf numFmtId="0" fontId="0" fillId="0" borderId="0" xfId="0"/>
    <xf numFmtId="164" fontId="4" fillId="0" borderId="0" xfId="1" applyNumberFormat="1" applyFont="1" applyFill="1" applyAlignment="1">
      <alignment vertical="top"/>
    </xf>
    <xf numFmtId="0" fontId="4" fillId="0" borderId="0" xfId="0" applyFont="1" applyAlignment="1">
      <alignment horizontal="center" vertical="top"/>
    </xf>
    <xf numFmtId="0" fontId="5" fillId="0" borderId="0" xfId="0" applyFont="1" applyAlignment="1">
      <alignment horizontal="center" vertical="top"/>
    </xf>
    <xf numFmtId="0" fontId="4" fillId="0" borderId="0" xfId="0" applyFont="1" applyAlignment="1">
      <alignment vertical="top"/>
    </xf>
    <xf numFmtId="165" fontId="4" fillId="0" borderId="0" xfId="1" applyNumberFormat="1" applyFont="1" applyFill="1" applyAlignment="1">
      <alignment vertical="top"/>
    </xf>
    <xf numFmtId="165" fontId="4" fillId="0" borderId="0" xfId="1" applyNumberFormat="1" applyFont="1" applyFill="1" applyAlignment="1">
      <alignment horizontal="right" vertical="top"/>
    </xf>
    <xf numFmtId="165" fontId="4" fillId="0" borderId="1" xfId="1" applyNumberFormat="1" applyFont="1" applyFill="1" applyBorder="1" applyAlignment="1">
      <alignment horizontal="right" vertical="top"/>
    </xf>
    <xf numFmtId="164" fontId="4" fillId="0" borderId="0" xfId="1" quotePrefix="1" applyNumberFormat="1" applyFont="1" applyFill="1" applyAlignment="1">
      <alignment vertical="top"/>
    </xf>
    <xf numFmtId="0" fontId="5" fillId="0" borderId="0" xfId="0" applyFont="1" applyAlignment="1">
      <alignment vertical="top"/>
    </xf>
    <xf numFmtId="165" fontId="5" fillId="0" borderId="0" xfId="1" applyNumberFormat="1" applyFont="1" applyFill="1" applyAlignment="1">
      <alignment vertical="top"/>
    </xf>
    <xf numFmtId="165" fontId="5" fillId="0" borderId="0" xfId="1" applyNumberFormat="1" applyFont="1" applyFill="1" applyAlignment="1">
      <alignment horizontal="right" vertical="top"/>
    </xf>
    <xf numFmtId="165" fontId="4" fillId="0" borderId="0" xfId="1" applyNumberFormat="1" applyFont="1" applyFill="1" applyBorder="1" applyAlignment="1">
      <alignment vertical="top"/>
    </xf>
    <xf numFmtId="165" fontId="4" fillId="0" borderId="0" xfId="1" applyNumberFormat="1" applyFont="1" applyFill="1" applyBorder="1" applyAlignment="1">
      <alignment horizontal="right" vertical="top"/>
    </xf>
    <xf numFmtId="164" fontId="4" fillId="0" borderId="0" xfId="1" applyNumberFormat="1" applyFont="1" applyFill="1" applyAlignment="1">
      <alignment horizontal="right" vertical="top"/>
    </xf>
    <xf numFmtId="166" fontId="5" fillId="0" borderId="0" xfId="2" applyNumberFormat="1" applyFont="1" applyFill="1" applyBorder="1" applyAlignment="1">
      <alignment horizontal="right" vertical="top"/>
    </xf>
    <xf numFmtId="166" fontId="4" fillId="0" borderId="0" xfId="2" applyNumberFormat="1" applyFont="1" applyFill="1" applyAlignment="1">
      <alignment horizontal="right" vertical="top"/>
    </xf>
    <xf numFmtId="165" fontId="5" fillId="0" borderId="0" xfId="1" applyNumberFormat="1" applyFont="1" applyFill="1" applyBorder="1" applyAlignment="1">
      <alignment horizontal="right" vertical="top"/>
    </xf>
    <xf numFmtId="166" fontId="5" fillId="0" borderId="0" xfId="2" applyNumberFormat="1" applyFont="1" applyFill="1" applyBorder="1" applyAlignment="1">
      <alignment vertical="top"/>
    </xf>
    <xf numFmtId="164" fontId="5" fillId="0" borderId="0" xfId="1" applyNumberFormat="1" applyFont="1" applyFill="1" applyAlignment="1">
      <alignment horizontal="right" vertical="top"/>
    </xf>
    <xf numFmtId="164" fontId="5" fillId="0" borderId="0" xfId="1" applyNumberFormat="1" applyFont="1" applyFill="1" applyAlignment="1">
      <alignment vertical="top"/>
    </xf>
    <xf numFmtId="0" fontId="4" fillId="0" borderId="0" xfId="0" applyFont="1" applyAlignment="1">
      <alignment horizontal="right" vertical="top"/>
    </xf>
    <xf numFmtId="165" fontId="5" fillId="0" borderId="0" xfId="0" applyNumberFormat="1" applyFont="1" applyAlignment="1">
      <alignment horizontal="right" vertical="top"/>
    </xf>
    <xf numFmtId="165" fontId="5" fillId="0" borderId="0" xfId="0" applyNumberFormat="1" applyFont="1" applyAlignment="1">
      <alignment vertical="top"/>
    </xf>
    <xf numFmtId="165" fontId="4" fillId="0" borderId="0" xfId="0" applyNumberFormat="1" applyFont="1" applyAlignment="1">
      <alignment horizontal="right" vertical="top"/>
    </xf>
    <xf numFmtId="43" fontId="5" fillId="0" borderId="0" xfId="1" applyFont="1" applyFill="1" applyBorder="1" applyAlignment="1">
      <alignment horizontal="right" vertical="top"/>
    </xf>
    <xf numFmtId="168" fontId="5" fillId="0" borderId="1" xfId="1" applyNumberFormat="1" applyFont="1" applyFill="1" applyBorder="1" applyAlignment="1">
      <alignment horizontal="right" vertical="top"/>
    </xf>
    <xf numFmtId="165" fontId="4" fillId="0" borderId="0" xfId="0" applyNumberFormat="1" applyFont="1" applyAlignment="1">
      <alignment vertical="top"/>
    </xf>
    <xf numFmtId="165" fontId="4" fillId="0" borderId="1" xfId="0" applyNumberFormat="1" applyFont="1" applyBorder="1" applyAlignment="1">
      <alignment horizontal="right" vertical="top"/>
    </xf>
    <xf numFmtId="166" fontId="5" fillId="0" borderId="0" xfId="2" applyNumberFormat="1" applyFont="1" applyFill="1" applyAlignment="1">
      <alignment horizontal="right" vertical="top"/>
    </xf>
    <xf numFmtId="43" fontId="5" fillId="0" borderId="0" xfId="1" applyFont="1" applyFill="1" applyAlignment="1">
      <alignment horizontal="right" vertical="top"/>
    </xf>
    <xf numFmtId="0" fontId="4" fillId="0" borderId="0" xfId="0" applyFont="1" applyAlignment="1">
      <alignment horizontal="left" vertical="top"/>
    </xf>
    <xf numFmtId="0" fontId="4" fillId="2" borderId="0" xfId="0" applyFont="1" applyFill="1" applyAlignment="1">
      <alignment vertical="top"/>
    </xf>
    <xf numFmtId="0" fontId="5" fillId="2" borderId="0" xfId="0" applyFont="1" applyFill="1" applyAlignment="1">
      <alignment vertical="top"/>
    </xf>
    <xf numFmtId="166" fontId="8" fillId="0" borderId="0" xfId="2" applyNumberFormat="1" applyFont="1" applyFill="1" applyBorder="1" applyAlignment="1">
      <alignment vertical="top"/>
    </xf>
    <xf numFmtId="165" fontId="4" fillId="0" borderId="2" xfId="1" applyNumberFormat="1" applyFont="1" applyFill="1" applyBorder="1" applyAlignment="1">
      <alignment horizontal="right" vertical="top"/>
    </xf>
    <xf numFmtId="164" fontId="4" fillId="2" borderId="0" xfId="1" applyNumberFormat="1" applyFont="1" applyFill="1" applyAlignment="1">
      <alignment vertical="top"/>
    </xf>
    <xf numFmtId="164" fontId="10" fillId="0" borderId="0" xfId="1" applyNumberFormat="1" applyFont="1" applyFill="1" applyAlignment="1">
      <alignment vertical="top"/>
    </xf>
    <xf numFmtId="168" fontId="7" fillId="0" borderId="1" xfId="1" applyNumberFormat="1" applyFont="1" applyFill="1" applyBorder="1" applyAlignment="1">
      <alignment horizontal="right" vertical="top"/>
    </xf>
    <xf numFmtId="165" fontId="2" fillId="3" borderId="0" xfId="1" applyNumberFormat="1" applyFont="1" applyFill="1" applyAlignment="1">
      <alignment horizontal="right" vertical="top"/>
    </xf>
    <xf numFmtId="165" fontId="2" fillId="3" borderId="1" xfId="1" applyNumberFormat="1" applyFont="1" applyFill="1" applyBorder="1" applyAlignment="1">
      <alignment horizontal="right" vertical="top"/>
    </xf>
    <xf numFmtId="165" fontId="7" fillId="3" borderId="0" xfId="1" applyNumberFormat="1" applyFont="1" applyFill="1" applyAlignment="1">
      <alignment horizontal="right" vertical="top"/>
    </xf>
    <xf numFmtId="168" fontId="7" fillId="3" borderId="1" xfId="1" applyNumberFormat="1" applyFont="1" applyFill="1" applyBorder="1" applyAlignment="1">
      <alignment horizontal="right" vertical="top"/>
    </xf>
    <xf numFmtId="165" fontId="2" fillId="3" borderId="0" xfId="1" applyNumberFormat="1" applyFont="1" applyFill="1" applyBorder="1" applyAlignment="1">
      <alignment horizontal="right" vertical="top"/>
    </xf>
    <xf numFmtId="164" fontId="2" fillId="3" borderId="0" xfId="1" applyNumberFormat="1" applyFont="1" applyFill="1" applyAlignment="1">
      <alignment horizontal="right" vertical="top"/>
    </xf>
    <xf numFmtId="166" fontId="7" fillId="3" borderId="0" xfId="2" applyNumberFormat="1" applyFont="1" applyFill="1" applyBorder="1" applyAlignment="1">
      <alignment horizontal="right" vertical="top"/>
    </xf>
    <xf numFmtId="166" fontId="7" fillId="0" borderId="0" xfId="2" applyNumberFormat="1" applyFont="1" applyFill="1" applyBorder="1" applyAlignment="1">
      <alignment horizontal="right" vertical="top"/>
    </xf>
    <xf numFmtId="166" fontId="2" fillId="0" borderId="0" xfId="2" applyNumberFormat="1" applyFont="1" applyFill="1" applyAlignment="1">
      <alignment horizontal="right" vertical="top"/>
    </xf>
    <xf numFmtId="165" fontId="2" fillId="3" borderId="2" xfId="1" applyNumberFormat="1" applyFont="1" applyFill="1" applyBorder="1" applyAlignment="1">
      <alignment horizontal="right" vertical="top"/>
    </xf>
    <xf numFmtId="165" fontId="7" fillId="3" borderId="0" xfId="1" applyNumberFormat="1" applyFont="1" applyFill="1" applyBorder="1" applyAlignment="1">
      <alignment horizontal="right" vertical="top"/>
    </xf>
    <xf numFmtId="166" fontId="7" fillId="3" borderId="0" xfId="2" applyNumberFormat="1" applyFont="1" applyFill="1" applyBorder="1" applyAlignment="1">
      <alignment vertical="top"/>
    </xf>
    <xf numFmtId="164" fontId="2" fillId="0" borderId="0" xfId="1" applyNumberFormat="1" applyFont="1" applyFill="1" applyAlignment="1">
      <alignment horizontal="right" vertical="top"/>
    </xf>
    <xf numFmtId="164" fontId="2" fillId="3" borderId="0" xfId="1" applyNumberFormat="1" applyFont="1" applyFill="1" applyAlignment="1">
      <alignment vertical="top"/>
    </xf>
    <xf numFmtId="165" fontId="2" fillId="3" borderId="0" xfId="1" applyNumberFormat="1" applyFont="1" applyFill="1" applyAlignment="1">
      <alignment vertical="top"/>
    </xf>
    <xf numFmtId="165" fontId="2" fillId="3" borderId="1" xfId="1" applyNumberFormat="1" applyFont="1" applyFill="1" applyBorder="1" applyAlignment="1">
      <alignment vertical="top"/>
    </xf>
    <xf numFmtId="165" fontId="7" fillId="3" borderId="0" xfId="1" applyNumberFormat="1" applyFont="1" applyFill="1" applyAlignment="1">
      <alignment vertical="top"/>
    </xf>
    <xf numFmtId="164" fontId="7" fillId="3" borderId="0" xfId="1" applyNumberFormat="1" applyFont="1" applyFill="1" applyAlignment="1">
      <alignment horizontal="right" vertical="top"/>
    </xf>
    <xf numFmtId="164" fontId="2" fillId="0" borderId="0" xfId="1" applyNumberFormat="1" applyFont="1" applyFill="1" applyAlignment="1">
      <alignment vertical="top"/>
    </xf>
    <xf numFmtId="0" fontId="2" fillId="3" borderId="0" xfId="0" applyFont="1" applyFill="1" applyAlignment="1">
      <alignment horizontal="right" vertical="top"/>
    </xf>
    <xf numFmtId="165" fontId="7" fillId="3" borderId="0" xfId="0" applyNumberFormat="1" applyFont="1" applyFill="1" applyAlignment="1">
      <alignment horizontal="right" vertical="top"/>
    </xf>
    <xf numFmtId="165" fontId="7" fillId="0" borderId="0" xfId="0" applyNumberFormat="1" applyFont="1" applyAlignment="1">
      <alignment horizontal="right" vertical="top"/>
    </xf>
    <xf numFmtId="165" fontId="2" fillId="3" borderId="0" xfId="0" applyNumberFormat="1" applyFont="1" applyFill="1" applyAlignment="1">
      <alignment horizontal="right" vertical="top"/>
    </xf>
    <xf numFmtId="9" fontId="7" fillId="3" borderId="0" xfId="2" applyFont="1" applyFill="1" applyBorder="1" applyAlignment="1">
      <alignment horizontal="right" vertical="top"/>
    </xf>
    <xf numFmtId="165" fontId="2" fillId="3" borderId="1" xfId="0" applyNumberFormat="1" applyFont="1" applyFill="1" applyBorder="1" applyAlignment="1">
      <alignment horizontal="right" vertical="top"/>
    </xf>
    <xf numFmtId="166" fontId="2" fillId="3" borderId="0" xfId="2" applyNumberFormat="1" applyFont="1" applyFill="1" applyBorder="1" applyAlignment="1">
      <alignment horizontal="right" vertical="top"/>
    </xf>
    <xf numFmtId="43" fontId="7" fillId="3" borderId="0" xfId="0" applyNumberFormat="1" applyFont="1" applyFill="1" applyAlignment="1">
      <alignment horizontal="right" vertical="top"/>
    </xf>
    <xf numFmtId="43" fontId="7" fillId="3" borderId="0" xfId="1" applyFont="1" applyFill="1" applyAlignment="1">
      <alignment horizontal="right" vertical="top"/>
    </xf>
    <xf numFmtId="165" fontId="4" fillId="0" borderId="3" xfId="1" applyNumberFormat="1" applyFont="1" applyFill="1" applyBorder="1" applyAlignment="1">
      <alignment vertical="top"/>
    </xf>
    <xf numFmtId="165" fontId="4" fillId="0" borderId="3" xfId="1" applyNumberFormat="1" applyFont="1" applyFill="1" applyBorder="1" applyAlignment="1">
      <alignment horizontal="right" vertical="top"/>
    </xf>
    <xf numFmtId="165" fontId="2" fillId="3" borderId="3" xfId="1" applyNumberFormat="1" applyFont="1" applyFill="1" applyBorder="1" applyAlignment="1">
      <alignment horizontal="right" vertical="top"/>
    </xf>
    <xf numFmtId="165" fontId="5" fillId="0" borderId="0" xfId="1" applyNumberFormat="1" applyFont="1" applyFill="1" applyBorder="1" applyAlignment="1">
      <alignment vertical="top"/>
    </xf>
    <xf numFmtId="168" fontId="5" fillId="0" borderId="1" xfId="1" applyNumberFormat="1" applyFont="1" applyFill="1" applyBorder="1" applyAlignment="1">
      <alignment horizontal="right" vertical="top" wrapText="1"/>
    </xf>
    <xf numFmtId="164" fontId="12" fillId="0" borderId="0" xfId="1" applyNumberFormat="1" applyFont="1" applyFill="1" applyAlignment="1">
      <alignment vertical="top"/>
    </xf>
    <xf numFmtId="10" fontId="4" fillId="0" borderId="0" xfId="2" applyNumberFormat="1" applyFont="1" applyFill="1" applyAlignment="1">
      <alignment vertical="top"/>
    </xf>
    <xf numFmtId="164" fontId="14" fillId="0" borderId="0" xfId="1" applyNumberFormat="1" applyFont="1" applyFill="1" applyAlignment="1">
      <alignment vertical="top"/>
    </xf>
    <xf numFmtId="9" fontId="4" fillId="0" borderId="0" xfId="2" applyFont="1" applyFill="1" applyAlignment="1">
      <alignment vertical="top"/>
    </xf>
    <xf numFmtId="166" fontId="4" fillId="0" borderId="0" xfId="2" applyNumberFormat="1" applyFont="1" applyFill="1" applyAlignment="1">
      <alignment vertical="top"/>
    </xf>
    <xf numFmtId="0" fontId="5" fillId="0" borderId="0" xfId="9" applyFont="1" applyAlignment="1">
      <alignment vertical="center" wrapText="1"/>
    </xf>
    <xf numFmtId="0" fontId="5" fillId="0" borderId="0" xfId="0" applyFont="1" applyAlignment="1">
      <alignment vertical="top" wrapText="1"/>
    </xf>
    <xf numFmtId="0" fontId="2" fillId="0" borderId="0" xfId="0" applyFont="1" applyAlignment="1">
      <alignment vertical="top"/>
    </xf>
    <xf numFmtId="0" fontId="7" fillId="0" borderId="0" xfId="0" applyFont="1" applyAlignment="1">
      <alignment vertical="top"/>
    </xf>
    <xf numFmtId="0" fontId="4" fillId="0" borderId="0" xfId="0" quotePrefix="1" applyFont="1" applyAlignment="1">
      <alignment horizontal="left" vertical="top" indent="1"/>
    </xf>
    <xf numFmtId="164" fontId="13" fillId="4" borderId="0" xfId="1" quotePrefix="1" applyNumberFormat="1" applyFont="1" applyFill="1" applyAlignment="1">
      <alignment horizontal="center" vertical="center"/>
    </xf>
    <xf numFmtId="0" fontId="4" fillId="4" borderId="0" xfId="0" applyFont="1" applyFill="1" applyAlignment="1">
      <alignment horizontal="center" vertical="top"/>
    </xf>
    <xf numFmtId="164" fontId="9" fillId="4" borderId="0" xfId="1" quotePrefix="1" applyNumberFormat="1" applyFont="1" applyFill="1" applyAlignment="1">
      <alignment horizontal="center" vertical="center"/>
    </xf>
    <xf numFmtId="164" fontId="4" fillId="4" borderId="0" xfId="1" applyNumberFormat="1" applyFont="1" applyFill="1" applyAlignment="1">
      <alignment horizontal="right" vertical="top"/>
    </xf>
    <xf numFmtId="164" fontId="2" fillId="4" borderId="0" xfId="1" applyNumberFormat="1" applyFont="1" applyFill="1" applyAlignment="1">
      <alignment horizontal="right" vertical="top"/>
    </xf>
    <xf numFmtId="0" fontId="5" fillId="4" borderId="0" xfId="0" applyFont="1" applyFill="1" applyAlignment="1">
      <alignment vertical="top"/>
    </xf>
    <xf numFmtId="169" fontId="5" fillId="0" borderId="0" xfId="1" applyNumberFormat="1" applyFont="1" applyFill="1" applyAlignment="1">
      <alignment horizontal="right" vertical="top"/>
    </xf>
    <xf numFmtId="0" fontId="5" fillId="0" borderId="0" xfId="0" applyFont="1" applyAlignment="1">
      <alignment horizontal="left" vertical="top"/>
    </xf>
    <xf numFmtId="164" fontId="5" fillId="0" borderId="0" xfId="1" quotePrefix="1" applyNumberFormat="1" applyFont="1" applyFill="1" applyAlignment="1">
      <alignment vertical="top"/>
    </xf>
    <xf numFmtId="0" fontId="2" fillId="2" borderId="0" xfId="0" applyFont="1" applyFill="1" applyAlignment="1">
      <alignment vertical="top"/>
    </xf>
    <xf numFmtId="0" fontId="2" fillId="0" borderId="0" xfId="0" quotePrefix="1" applyFont="1" applyAlignment="1">
      <alignment horizontal="left" vertical="top" indent="1"/>
    </xf>
    <xf numFmtId="164" fontId="14" fillId="4" borderId="0" xfId="1" applyNumberFormat="1" applyFont="1" applyFill="1" applyAlignment="1">
      <alignment vertical="top"/>
    </xf>
    <xf numFmtId="9" fontId="5" fillId="0" borderId="0" xfId="2" applyFont="1" applyFill="1" applyBorder="1" applyAlignment="1">
      <alignment horizontal="right" vertical="top"/>
    </xf>
    <xf numFmtId="0" fontId="4" fillId="0" borderId="0" xfId="0" quotePrefix="1" applyFont="1" applyAlignment="1">
      <alignment vertical="top"/>
    </xf>
    <xf numFmtId="0" fontId="4" fillId="0" borderId="4" xfId="0" quotePrefix="1" applyFont="1" applyBorder="1" applyAlignment="1">
      <alignment vertical="top"/>
    </xf>
    <xf numFmtId="170" fontId="2" fillId="0" borderId="0" xfId="2" applyNumberFormat="1" applyFont="1" applyFill="1" applyAlignment="1">
      <alignment horizontal="right" vertical="top"/>
    </xf>
  </cellXfs>
  <cellStyles count="12">
    <cellStyle name="Align_indent_1" xfId="11" xr:uid="{DF2212CF-BB92-41E7-843C-CAAFF8D59C86}"/>
    <cellStyle name="Fnt_default_11_bold" xfId="10" xr:uid="{0E315AC2-FA4A-46B0-8A7A-AEEC21B7079C}"/>
    <cellStyle name="Hyperlink 2" xfId="7" xr:uid="{00000000-0005-0000-0000-000001000000}"/>
    <cellStyle name="Komma" xfId="1" builtinId="3"/>
    <cellStyle name="Komma 11" xfId="8" xr:uid="{00000000-0005-0000-0000-000003000000}"/>
    <cellStyle name="Normal" xfId="9" xr:uid="{00000000-0005-0000-0000-000004000000}"/>
    <cellStyle name="Procent" xfId="2" builtinId="5"/>
    <cellStyle name="Standaard" xfId="0" builtinId="0"/>
    <cellStyle name="Standaard 14" xfId="4" xr:uid="{00000000-0005-0000-0000-000007000000}"/>
    <cellStyle name="Standaard 2 2 2 3" xfId="6" xr:uid="{00000000-0005-0000-0000-000008000000}"/>
    <cellStyle name="Standaard 2 2 3" xfId="3" xr:uid="{00000000-0005-0000-0000-000009000000}"/>
    <cellStyle name="Standaard 3 6" xfId="5" xr:uid="{00000000-0005-0000-0000-00000A000000}"/>
  </cellStyles>
  <dxfs count="0"/>
  <tableStyles count="0" defaultTableStyle="TableStyleMedium2" defaultPivotStyle="PivotStyleLight16"/>
  <colors>
    <mruColors>
      <color rgb="FFEEF4E3"/>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84"/>
  <sheetViews>
    <sheetView showGridLines="0" tabSelected="1" topLeftCell="A22" zoomScaleNormal="100" workbookViewId="0">
      <selection activeCell="C66" sqref="C66"/>
    </sheetView>
  </sheetViews>
  <sheetFormatPr defaultColWidth="9.140625" defaultRowHeight="13.15"/>
  <cols>
    <col min="1" max="1" width="17.5703125" style="8" customWidth="1"/>
    <col min="2" max="2" width="3.140625" style="2" bestFit="1" customWidth="1"/>
    <col min="3" max="3" width="72.85546875" style="1" bestFit="1" customWidth="1"/>
    <col min="4" max="4" width="12.42578125" style="1" customWidth="1"/>
    <col min="5" max="5" width="14" style="14" bestFit="1" customWidth="1"/>
    <col min="6" max="6" width="14" style="51" bestFit="1" customWidth="1"/>
    <col min="7" max="16384" width="9.140625" style="1"/>
  </cols>
  <sheetData>
    <row r="1" spans="1:8" ht="17.45">
      <c r="A1" s="82" t="s">
        <v>0</v>
      </c>
      <c r="B1" s="83"/>
      <c r="C1" s="84" t="s">
        <v>1</v>
      </c>
      <c r="D1" s="93" t="s">
        <v>2</v>
      </c>
      <c r="E1" s="85"/>
      <c r="F1" s="86"/>
    </row>
    <row r="3" spans="1:8">
      <c r="C3" s="77" t="s">
        <v>3</v>
      </c>
    </row>
    <row r="5" spans="1:8">
      <c r="A5" s="1"/>
      <c r="C5" s="87" t="s">
        <v>4</v>
      </c>
      <c r="D5" s="3"/>
      <c r="E5" s="71" t="s">
        <v>5</v>
      </c>
      <c r="F5" s="38" t="s">
        <v>6</v>
      </c>
    </row>
    <row r="6" spans="1:8">
      <c r="B6" s="2" t="s">
        <v>7</v>
      </c>
      <c r="C6" s="4" t="s">
        <v>8</v>
      </c>
      <c r="D6" s="5"/>
      <c r="E6" s="35">
        <v>-1709.3251645599998</v>
      </c>
      <c r="F6" s="39">
        <v>1086.0551805299999</v>
      </c>
    </row>
    <row r="7" spans="1:8">
      <c r="B7" s="2" t="s">
        <v>9</v>
      </c>
      <c r="C7" s="4" t="s">
        <v>10</v>
      </c>
      <c r="D7" s="5"/>
      <c r="E7" s="7">
        <v>-48.125</v>
      </c>
      <c r="F7" s="40">
        <v>-48.125</v>
      </c>
    </row>
    <row r="8" spans="1:8">
      <c r="A8" s="8" t="s">
        <v>11</v>
      </c>
      <c r="B8" s="2" t="s">
        <v>12</v>
      </c>
      <c r="C8" s="9" t="s">
        <v>13</v>
      </c>
      <c r="D8" s="10"/>
      <c r="E8" s="11">
        <f>E6+E7</f>
        <v>-1757.4501645599998</v>
      </c>
      <c r="F8" s="41">
        <f>F6+F7</f>
        <v>1037.9301805299999</v>
      </c>
    </row>
    <row r="9" spans="1:8">
      <c r="D9" s="10"/>
      <c r="E9" s="11"/>
      <c r="F9" s="41"/>
    </row>
    <row r="10" spans="1:8">
      <c r="D10" s="26" t="s">
        <v>14</v>
      </c>
      <c r="E10" s="71" t="s">
        <v>5</v>
      </c>
      <c r="F10" s="42" t="str">
        <f>F5</f>
        <v>FY 2023</v>
      </c>
    </row>
    <row r="11" spans="1:8">
      <c r="B11" s="2" t="s">
        <v>15</v>
      </c>
      <c r="C11" s="4" t="s">
        <v>16</v>
      </c>
      <c r="D11" s="12">
        <v>6170.4716819299992</v>
      </c>
      <c r="E11" s="13">
        <v>5145.7427601200006</v>
      </c>
      <c r="F11" s="43">
        <v>8338.5852208300003</v>
      </c>
    </row>
    <row r="12" spans="1:8">
      <c r="A12" s="8" t="s">
        <v>17</v>
      </c>
      <c r="B12" s="2" t="s">
        <v>18</v>
      </c>
      <c r="C12" s="9" t="s">
        <v>19</v>
      </c>
      <c r="D12" s="11"/>
      <c r="E12" s="11">
        <f>AVERAGE(D11,E11)</f>
        <v>5658.1072210250004</v>
      </c>
      <c r="F12" s="41">
        <f>AVERAGE(E11,F11)</f>
        <v>6742.1639904750009</v>
      </c>
    </row>
    <row r="13" spans="1:8">
      <c r="C13" s="4"/>
      <c r="D13" s="14"/>
      <c r="F13" s="44"/>
    </row>
    <row r="14" spans="1:8">
      <c r="A14" s="8" t="s">
        <v>20</v>
      </c>
      <c r="B14" s="2" t="s">
        <v>21</v>
      </c>
      <c r="C14" s="9" t="s">
        <v>22</v>
      </c>
      <c r="D14" s="15"/>
      <c r="E14" s="15">
        <f>+E8/E12</f>
        <v>-0.31060743388345108</v>
      </c>
      <c r="F14" s="45">
        <f>+F8/F12</f>
        <v>0.15394614874339113</v>
      </c>
      <c r="H14" s="76"/>
    </row>
    <row r="15" spans="1:8">
      <c r="E15" s="15"/>
      <c r="F15" s="46"/>
    </row>
    <row r="16" spans="1:8">
      <c r="C16" s="72"/>
      <c r="E16" s="15"/>
      <c r="F16" s="46"/>
    </row>
    <row r="17" spans="1:8">
      <c r="E17" s="6"/>
      <c r="F17" s="6"/>
    </row>
    <row r="18" spans="1:8">
      <c r="C18" s="87" t="s">
        <v>23</v>
      </c>
      <c r="D18" s="3"/>
      <c r="E18" s="71" t="str">
        <f>+E5</f>
        <v>FY 2022</v>
      </c>
      <c r="F18" s="38" t="str">
        <f>+F5</f>
        <v>FY 2023</v>
      </c>
    </row>
    <row r="19" spans="1:8" s="20" customFormat="1">
      <c r="A19" s="90"/>
      <c r="B19" s="3" t="s">
        <v>7</v>
      </c>
      <c r="C19" s="9" t="s">
        <v>24</v>
      </c>
      <c r="D19" s="10"/>
      <c r="E19" s="11">
        <v>597.63275604969328</v>
      </c>
      <c r="F19" s="41">
        <v>828.51182124199988</v>
      </c>
    </row>
    <row r="20" spans="1:8">
      <c r="C20" s="4"/>
      <c r="D20" s="5"/>
      <c r="E20" s="11"/>
      <c r="F20" s="41"/>
    </row>
    <row r="21" spans="1:8">
      <c r="C21" s="4"/>
      <c r="D21" s="26" t="str">
        <f>D10</f>
        <v>FY 2021</v>
      </c>
      <c r="E21" s="71" t="str">
        <f>E10</f>
        <v>FY 2022</v>
      </c>
      <c r="F21" s="42" t="str">
        <f>+F18</f>
        <v>FY 2023</v>
      </c>
    </row>
    <row r="22" spans="1:8">
      <c r="B22" s="2" t="s">
        <v>9</v>
      </c>
      <c r="C22" s="4" t="s">
        <v>16</v>
      </c>
      <c r="D22" s="12">
        <f>D11</f>
        <v>6170.4716819299992</v>
      </c>
      <c r="E22" s="6">
        <f>E11</f>
        <v>5145.7427601200006</v>
      </c>
      <c r="F22" s="39">
        <f>F11</f>
        <v>8338.5852208300003</v>
      </c>
    </row>
    <row r="23" spans="1:8">
      <c r="B23" s="2" t="s">
        <v>12</v>
      </c>
      <c r="C23" s="95" t="s">
        <v>25</v>
      </c>
      <c r="D23" s="12">
        <v>0</v>
      </c>
      <c r="E23" s="6">
        <v>0</v>
      </c>
      <c r="F23" s="39">
        <v>-55.308743049999997</v>
      </c>
    </row>
    <row r="24" spans="1:8" ht="13.9" thickBot="1">
      <c r="B24" s="2" t="s">
        <v>15</v>
      </c>
      <c r="C24" s="96" t="s">
        <v>26</v>
      </c>
      <c r="D24" s="67">
        <v>-43.528333910000001</v>
      </c>
      <c r="E24" s="68">
        <v>-24.673936049999998</v>
      </c>
      <c r="F24" s="69">
        <v>-36.460920369999997</v>
      </c>
    </row>
    <row r="25" spans="1:8" s="20" customFormat="1" ht="30.75" customHeight="1">
      <c r="A25" s="8" t="s">
        <v>27</v>
      </c>
      <c r="B25" s="2" t="s">
        <v>18</v>
      </c>
      <c r="C25" s="78" t="s">
        <v>28</v>
      </c>
      <c r="D25" s="70">
        <f>D22+D23+D24</f>
        <v>6126.9433480199996</v>
      </c>
      <c r="E25" s="70">
        <f>E22+E23+E24</f>
        <v>5121.068824070001</v>
      </c>
      <c r="F25" s="41">
        <f>F22+F23+F24</f>
        <v>8246.8155574100001</v>
      </c>
    </row>
    <row r="26" spans="1:8">
      <c r="A26" s="8" t="s">
        <v>29</v>
      </c>
      <c r="B26" s="2" t="s">
        <v>21</v>
      </c>
      <c r="C26" s="9" t="s">
        <v>30</v>
      </c>
      <c r="D26" s="11"/>
      <c r="E26" s="11">
        <f>(D25+E25)/2</f>
        <v>5624.0060860450003</v>
      </c>
      <c r="F26" s="41">
        <f>(E25+F25)/2</f>
        <v>6683.942190740001</v>
      </c>
    </row>
    <row r="27" spans="1:8">
      <c r="F27" s="44"/>
    </row>
    <row r="28" spans="1:8">
      <c r="A28" s="8" t="s">
        <v>31</v>
      </c>
      <c r="B28" s="2" t="s">
        <v>32</v>
      </c>
      <c r="C28" s="9" t="s">
        <v>33</v>
      </c>
      <c r="D28" s="9"/>
      <c r="E28" s="15">
        <f>+E19/E26</f>
        <v>0.10626459980770926</v>
      </c>
      <c r="F28" s="45">
        <f>+F19/F26</f>
        <v>0.12395556358788205</v>
      </c>
      <c r="H28" s="76"/>
    </row>
    <row r="29" spans="1:8">
      <c r="E29" s="1"/>
      <c r="F29" s="46"/>
    </row>
    <row r="30" spans="1:8">
      <c r="E30" s="15"/>
      <c r="F30" s="46"/>
    </row>
    <row r="31" spans="1:8">
      <c r="E31" s="16"/>
      <c r="F31" s="47"/>
    </row>
    <row r="32" spans="1:8">
      <c r="C32" s="87" t="s">
        <v>34</v>
      </c>
      <c r="E32" s="71" t="str">
        <f>$E$10</f>
        <v>FY 2022</v>
      </c>
      <c r="F32" s="38" t="str">
        <f>+$F$5</f>
        <v>FY 2023</v>
      </c>
    </row>
    <row r="33" spans="1:8">
      <c r="B33" s="2" t="s">
        <v>7</v>
      </c>
      <c r="C33" s="32" t="s">
        <v>35</v>
      </c>
      <c r="D33" s="36"/>
      <c r="E33" s="13">
        <v>497</v>
      </c>
      <c r="F33" s="43">
        <v>497</v>
      </c>
    </row>
    <row r="34" spans="1:8">
      <c r="B34" s="2" t="s">
        <v>9</v>
      </c>
      <c r="C34" s="32" t="s">
        <v>36</v>
      </c>
      <c r="D34" s="36"/>
      <c r="E34" s="7">
        <v>506.81</v>
      </c>
      <c r="F34" s="40">
        <v>506.81</v>
      </c>
    </row>
    <row r="35" spans="1:8">
      <c r="A35" s="8" t="s">
        <v>11</v>
      </c>
      <c r="B35" s="2" t="s">
        <v>12</v>
      </c>
      <c r="C35" s="32" t="s">
        <v>37</v>
      </c>
      <c r="D35" s="36"/>
      <c r="E35" s="35">
        <f>+E33+E34</f>
        <v>1003.81</v>
      </c>
      <c r="F35" s="48">
        <f>+F33+F34</f>
        <v>1003.81</v>
      </c>
    </row>
    <row r="36" spans="1:8">
      <c r="B36" s="2" t="s">
        <v>15</v>
      </c>
      <c r="C36" s="4" t="s">
        <v>38</v>
      </c>
      <c r="E36" s="13">
        <v>498.50812432999999</v>
      </c>
      <c r="F36" s="43">
        <v>499.00200854000002</v>
      </c>
    </row>
    <row r="37" spans="1:8">
      <c r="B37" s="2" t="s">
        <v>18</v>
      </c>
      <c r="C37" s="4" t="s">
        <v>39</v>
      </c>
      <c r="E37" s="13">
        <v>494.73319032000001</v>
      </c>
      <c r="F37" s="43">
        <v>495.55129829999998</v>
      </c>
    </row>
    <row r="38" spans="1:8">
      <c r="B38" s="2" t="s">
        <v>21</v>
      </c>
      <c r="C38" s="4" t="s">
        <v>40</v>
      </c>
      <c r="E38" s="13">
        <v>986.90635823000002</v>
      </c>
      <c r="F38" s="43">
        <v>987.67123403999994</v>
      </c>
    </row>
    <row r="39" spans="1:8">
      <c r="B39" s="2" t="s">
        <v>32</v>
      </c>
      <c r="C39" s="4" t="s">
        <v>41</v>
      </c>
      <c r="E39" s="7">
        <v>75</v>
      </c>
      <c r="F39" s="40">
        <v>800</v>
      </c>
    </row>
    <row r="40" spans="1:8">
      <c r="A40" s="8" t="s">
        <v>42</v>
      </c>
      <c r="B40" s="2" t="s">
        <v>43</v>
      </c>
      <c r="C40" s="9" t="s">
        <v>44</v>
      </c>
      <c r="E40" s="17">
        <f>E35+E36+E37+E38+E39</f>
        <v>3058.9576728800002</v>
      </c>
      <c r="F40" s="49">
        <f>F35+F36+F37+F38+F39</f>
        <v>3786.0345408799999</v>
      </c>
    </row>
    <row r="41" spans="1:8">
      <c r="C41" s="4"/>
      <c r="E41" s="13"/>
      <c r="F41" s="43"/>
    </row>
    <row r="42" spans="1:8">
      <c r="B42" s="2" t="s">
        <v>45</v>
      </c>
      <c r="C42" s="4" t="s">
        <v>16</v>
      </c>
      <c r="E42" s="13">
        <v>5145.7427601200006</v>
      </c>
      <c r="F42" s="43">
        <v>8338.5852208300003</v>
      </c>
    </row>
    <row r="43" spans="1:8">
      <c r="B43" s="2" t="s">
        <v>46</v>
      </c>
      <c r="C43" s="32" t="s">
        <v>47</v>
      </c>
      <c r="E43" s="7">
        <v>1357.25652682186</v>
      </c>
      <c r="F43" s="40">
        <v>3834.8230507487606</v>
      </c>
    </row>
    <row r="44" spans="1:8">
      <c r="A44" s="8" t="s">
        <v>48</v>
      </c>
      <c r="B44" s="2" t="s">
        <v>49</v>
      </c>
      <c r="C44" s="9" t="s">
        <v>50</v>
      </c>
      <c r="E44" s="17">
        <f>+E42+E43</f>
        <v>6502.9992869418602</v>
      </c>
      <c r="F44" s="49">
        <f>+F42+F43</f>
        <v>12173.408271578761</v>
      </c>
    </row>
    <row r="45" spans="1:8">
      <c r="C45" s="4"/>
      <c r="E45" s="13"/>
      <c r="F45" s="43"/>
    </row>
    <row r="46" spans="1:8">
      <c r="A46" s="8" t="s">
        <v>51</v>
      </c>
      <c r="B46" s="2" t="s">
        <v>52</v>
      </c>
      <c r="C46" s="9" t="s">
        <v>53</v>
      </c>
      <c r="E46" s="18">
        <f>E40/(E44+E40)</f>
        <v>0.31990916563767807</v>
      </c>
      <c r="F46" s="50">
        <f>F40/(F44+F40)</f>
        <v>0.23722849133081431</v>
      </c>
      <c r="H46" s="76"/>
    </row>
    <row r="47" spans="1:8">
      <c r="D47" s="18"/>
      <c r="E47" s="25"/>
    </row>
    <row r="48" spans="1:8">
      <c r="D48" s="18"/>
      <c r="E48" s="15"/>
    </row>
    <row r="49" spans="1:6">
      <c r="D49" s="18"/>
    </row>
    <row r="50" spans="1:6">
      <c r="C50" s="87" t="s">
        <v>54</v>
      </c>
      <c r="D50" s="18"/>
      <c r="E50" s="71" t="str">
        <f>$E$10</f>
        <v>FY 2022</v>
      </c>
      <c r="F50" s="38" t="str">
        <f>+$F$5</f>
        <v>FY 2023</v>
      </c>
    </row>
    <row r="51" spans="1:6">
      <c r="B51" s="2" t="s">
        <v>7</v>
      </c>
      <c r="C51" s="4" t="s">
        <v>55</v>
      </c>
      <c r="D51" s="18"/>
      <c r="E51" s="35">
        <v>48.125</v>
      </c>
      <c r="F51" s="48">
        <v>48.125</v>
      </c>
    </row>
    <row r="52" spans="1:6">
      <c r="B52" s="2" t="s">
        <v>9</v>
      </c>
      <c r="C52" s="4" t="s">
        <v>56</v>
      </c>
      <c r="D52" s="18"/>
      <c r="E52" s="13">
        <v>50.171232879999998</v>
      </c>
      <c r="F52" s="43">
        <v>115.37671233</v>
      </c>
    </row>
    <row r="53" spans="1:6">
      <c r="B53" s="2" t="s">
        <v>12</v>
      </c>
      <c r="C53" s="4" t="s">
        <v>41</v>
      </c>
      <c r="D53" s="18"/>
      <c r="E53" s="7">
        <v>0.78085199999999999</v>
      </c>
      <c r="F53" s="40">
        <v>11.34796253</v>
      </c>
    </row>
    <row r="54" spans="1:6">
      <c r="A54" s="8" t="s">
        <v>57</v>
      </c>
      <c r="B54" s="2" t="s">
        <v>15</v>
      </c>
      <c r="C54" s="9" t="s">
        <v>58</v>
      </c>
      <c r="D54" s="18"/>
      <c r="E54" s="11">
        <f>E51+E52+E53</f>
        <v>99.077084879999987</v>
      </c>
      <c r="F54" s="41">
        <f>F51+F52+F53</f>
        <v>174.84967485999999</v>
      </c>
    </row>
    <row r="55" spans="1:6">
      <c r="C55" s="9"/>
      <c r="D55" s="18"/>
      <c r="E55" s="6"/>
      <c r="F55" s="52"/>
    </row>
    <row r="56" spans="1:6">
      <c r="B56" s="2" t="s">
        <v>18</v>
      </c>
      <c r="C56" s="4" t="s">
        <v>59</v>
      </c>
      <c r="D56" s="34"/>
      <c r="E56" s="6">
        <v>805.43497300000024</v>
      </c>
      <c r="F56" s="53">
        <v>1116.5927509999999</v>
      </c>
    </row>
    <row r="57" spans="1:6">
      <c r="B57" s="2" t="s">
        <v>21</v>
      </c>
      <c r="C57" s="4" t="s">
        <v>58</v>
      </c>
      <c r="D57" s="18"/>
      <c r="E57" s="7">
        <f>+E54</f>
        <v>99.077084879999987</v>
      </c>
      <c r="F57" s="54">
        <f>+F54</f>
        <v>174.84967485999999</v>
      </c>
    </row>
    <row r="58" spans="1:6">
      <c r="A58" s="8" t="s">
        <v>60</v>
      </c>
      <c r="B58" s="2" t="s">
        <v>32</v>
      </c>
      <c r="C58" s="9" t="s">
        <v>61</v>
      </c>
      <c r="D58" s="18"/>
      <c r="E58" s="11">
        <f>E56+E57</f>
        <v>904.51205788000027</v>
      </c>
      <c r="F58" s="55">
        <f>F56+F57</f>
        <v>1291.44242586</v>
      </c>
    </row>
    <row r="59" spans="1:6">
      <c r="C59" s="4"/>
      <c r="D59" s="18"/>
      <c r="F59" s="52"/>
    </row>
    <row r="60" spans="1:6">
      <c r="A60" s="8" t="s">
        <v>62</v>
      </c>
      <c r="B60" s="2" t="s">
        <v>43</v>
      </c>
      <c r="C60" s="9" t="s">
        <v>63</v>
      </c>
      <c r="D60" s="18"/>
      <c r="E60" s="19">
        <f>E58/E54</f>
        <v>9.1293769793037978</v>
      </c>
      <c r="F60" s="56">
        <f>F58/F54</f>
        <v>7.3860155982219711</v>
      </c>
    </row>
    <row r="61" spans="1:6">
      <c r="D61" s="20"/>
      <c r="E61" s="88"/>
      <c r="F61" s="57"/>
    </row>
    <row r="62" spans="1:6">
      <c r="D62" s="20"/>
      <c r="E62" s="19"/>
    </row>
    <row r="63" spans="1:6">
      <c r="D63" s="20"/>
    </row>
    <row r="64" spans="1:6">
      <c r="C64" s="87" t="s">
        <v>64</v>
      </c>
      <c r="D64" s="9"/>
      <c r="E64" s="26" t="str">
        <f>$E$10</f>
        <v>FY 2022</v>
      </c>
      <c r="F64" s="38" t="str">
        <f>+$F$5</f>
        <v>FY 2023</v>
      </c>
    </row>
    <row r="65" spans="1:8">
      <c r="B65" s="2" t="s">
        <v>7</v>
      </c>
      <c r="C65" s="32" t="s">
        <v>16</v>
      </c>
      <c r="D65" s="4"/>
      <c r="E65" s="13">
        <v>5145.7427601200006</v>
      </c>
      <c r="F65" s="43">
        <v>8338.5852208300003</v>
      </c>
    </row>
    <row r="66" spans="1:8">
      <c r="B66" s="2" t="s">
        <v>9</v>
      </c>
      <c r="C66" s="32" t="s">
        <v>65</v>
      </c>
      <c r="D66" s="4"/>
      <c r="E66" s="13">
        <v>2983.9576728800002</v>
      </c>
      <c r="F66" s="43">
        <v>2986.0345408799999</v>
      </c>
    </row>
    <row r="67" spans="1:8">
      <c r="B67" s="2" t="s">
        <v>12</v>
      </c>
      <c r="C67" s="32" t="s">
        <v>47</v>
      </c>
      <c r="D67" s="4"/>
      <c r="E67" s="7">
        <v>1357.25652682186</v>
      </c>
      <c r="F67" s="40">
        <v>3834.8230507487606</v>
      </c>
    </row>
    <row r="68" spans="1:8">
      <c r="A68" s="8" t="s">
        <v>57</v>
      </c>
      <c r="B68" s="2" t="s">
        <v>15</v>
      </c>
      <c r="C68" s="33" t="s">
        <v>66</v>
      </c>
      <c r="D68" s="9"/>
      <c r="E68" s="17">
        <f>E65+E66+E67</f>
        <v>9486.9569598218604</v>
      </c>
      <c r="F68" s="49">
        <f>F65+F66+F67</f>
        <v>15159.442812458761</v>
      </c>
    </row>
    <row r="69" spans="1:8">
      <c r="C69" s="32"/>
      <c r="D69" s="4"/>
      <c r="E69" s="13"/>
      <c r="F69" s="43"/>
    </row>
    <row r="70" spans="1:8">
      <c r="B70" s="2" t="s">
        <v>18</v>
      </c>
      <c r="C70" s="33" t="s">
        <v>67</v>
      </c>
      <c r="D70" s="9"/>
      <c r="E70" s="17">
        <v>7139.4261528018578</v>
      </c>
      <c r="F70" s="49">
        <v>15542.298676508761</v>
      </c>
      <c r="G70" s="37"/>
    </row>
    <row r="71" spans="1:8">
      <c r="C71" s="32"/>
      <c r="D71" s="4"/>
      <c r="E71" s="21"/>
      <c r="F71" s="58"/>
    </row>
    <row r="72" spans="1:8">
      <c r="A72" s="8" t="s">
        <v>68</v>
      </c>
      <c r="B72" s="2" t="s">
        <v>21</v>
      </c>
      <c r="C72" s="33" t="s">
        <v>69</v>
      </c>
      <c r="D72" s="9"/>
      <c r="E72" s="15">
        <f>E70/E68</f>
        <v>0.75255175954080822</v>
      </c>
      <c r="F72" s="45">
        <f>F70/F68</f>
        <v>1.0252552728214621</v>
      </c>
      <c r="H72" s="76"/>
    </row>
    <row r="73" spans="1:8">
      <c r="A73" s="8" t="s">
        <v>70</v>
      </c>
      <c r="B73" s="2" t="s">
        <v>32</v>
      </c>
      <c r="C73" s="33" t="s">
        <v>71</v>
      </c>
      <c r="D73" s="9"/>
      <c r="E73" s="22">
        <f>E70-E68</f>
        <v>-2347.5308070200026</v>
      </c>
      <c r="F73" s="59">
        <f>F70-F68</f>
        <v>382.85586404999958</v>
      </c>
      <c r="H73" s="5"/>
    </row>
    <row r="74" spans="1:8">
      <c r="D74" s="9"/>
      <c r="E74" s="22"/>
      <c r="F74" s="60"/>
    </row>
    <row r="75" spans="1:8">
      <c r="D75" s="9"/>
      <c r="E75" s="22"/>
      <c r="F75" s="60"/>
    </row>
    <row r="76" spans="1:8">
      <c r="D76" s="9"/>
      <c r="E76" s="22"/>
      <c r="F76" s="60"/>
    </row>
    <row r="77" spans="1:8">
      <c r="C77" s="87" t="s">
        <v>72</v>
      </c>
      <c r="D77" s="9"/>
      <c r="E77" s="26" t="str">
        <f>$E$10</f>
        <v>FY 2022</v>
      </c>
      <c r="F77" s="38" t="str">
        <f>+$F$5</f>
        <v>FY 2023</v>
      </c>
    </row>
    <row r="78" spans="1:8">
      <c r="B78" s="2" t="s">
        <v>7</v>
      </c>
      <c r="C78" s="79" t="s">
        <v>73</v>
      </c>
      <c r="D78" s="4"/>
      <c r="E78" s="24">
        <v>7441</v>
      </c>
      <c r="F78" s="61">
        <v>11578</v>
      </c>
    </row>
    <row r="79" spans="1:8">
      <c r="B79" s="2" t="s">
        <v>9</v>
      </c>
      <c r="C79" s="79" t="s">
        <v>74</v>
      </c>
      <c r="D79" s="4"/>
      <c r="E79" s="28">
        <v>3360</v>
      </c>
      <c r="F79" s="63">
        <v>6581</v>
      </c>
    </row>
    <row r="80" spans="1:8">
      <c r="A80" s="8" t="s">
        <v>75</v>
      </c>
      <c r="B80" s="2" t="s">
        <v>12</v>
      </c>
      <c r="C80" s="9" t="s">
        <v>76</v>
      </c>
      <c r="D80" s="4"/>
      <c r="E80" s="94">
        <f>E78/E79</f>
        <v>2.2145833333333331</v>
      </c>
      <c r="F80" s="62">
        <f>F78/F79</f>
        <v>1.75930709618599</v>
      </c>
      <c r="H80" s="75"/>
    </row>
    <row r="81" spans="1:6">
      <c r="D81" s="23"/>
      <c r="E81" s="22"/>
      <c r="F81" s="57"/>
    </row>
    <row r="82" spans="1:6">
      <c r="D82" s="23"/>
      <c r="E82" s="22"/>
      <c r="F82" s="57"/>
    </row>
    <row r="83" spans="1:6">
      <c r="D83" s="23"/>
      <c r="E83" s="22"/>
      <c r="F83" s="57"/>
    </row>
    <row r="84" spans="1:6">
      <c r="C84" s="87" t="s">
        <v>77</v>
      </c>
      <c r="D84" s="23"/>
      <c r="E84" s="26" t="str">
        <f>E$5</f>
        <v>FY 2022</v>
      </c>
      <c r="F84" s="38" t="str">
        <f>+$F$5</f>
        <v>FY 2023</v>
      </c>
    </row>
    <row r="85" spans="1:6">
      <c r="B85" s="2" t="s">
        <v>7</v>
      </c>
      <c r="C85" s="4" t="s">
        <v>78</v>
      </c>
      <c r="D85" s="27"/>
      <c r="E85" s="24">
        <v>1450.5490381300003</v>
      </c>
      <c r="F85" s="61">
        <v>1656.0304606</v>
      </c>
    </row>
    <row r="86" spans="1:6">
      <c r="B86" s="2" t="s">
        <v>9</v>
      </c>
      <c r="C86" s="31" t="s">
        <v>79</v>
      </c>
      <c r="D86" s="27"/>
      <c r="E86" s="28">
        <v>-26.34782225</v>
      </c>
      <c r="F86" s="63">
        <v>-33.608237029999998</v>
      </c>
    </row>
    <row r="87" spans="1:6">
      <c r="A87" s="8" t="s">
        <v>11</v>
      </c>
      <c r="B87" s="2" t="s">
        <v>12</v>
      </c>
      <c r="C87" s="89" t="s">
        <v>80</v>
      </c>
      <c r="D87" s="23"/>
      <c r="E87" s="22">
        <f>+E85+E86</f>
        <v>1424.2012158800003</v>
      </c>
      <c r="F87" s="59">
        <f>+F85+F86</f>
        <v>1622.4222235699999</v>
      </c>
    </row>
    <row r="88" spans="1:6">
      <c r="C88" s="4"/>
      <c r="D88" s="27"/>
      <c r="F88" s="61"/>
    </row>
    <row r="89" spans="1:6">
      <c r="B89" s="2" t="s">
        <v>15</v>
      </c>
      <c r="C89" s="91" t="s">
        <v>81</v>
      </c>
      <c r="D89" s="27"/>
      <c r="E89" s="24">
        <v>-1297.2288159100001</v>
      </c>
      <c r="F89" s="61">
        <v>-1361.04597947</v>
      </c>
    </row>
    <row r="90" spans="1:6">
      <c r="B90" s="2" t="s">
        <v>18</v>
      </c>
      <c r="C90" s="79" t="s">
        <v>82</v>
      </c>
      <c r="E90" s="28">
        <v>23.700093010000003</v>
      </c>
      <c r="F90" s="63">
        <v>22.562990380000002</v>
      </c>
    </row>
    <row r="91" spans="1:6" s="20" customFormat="1">
      <c r="A91" s="8" t="s">
        <v>83</v>
      </c>
      <c r="B91" s="2" t="s">
        <v>21</v>
      </c>
      <c r="C91" s="80" t="s">
        <v>84</v>
      </c>
      <c r="E91" s="22">
        <f>+E89+E90</f>
        <v>-1273.5287229</v>
      </c>
      <c r="F91" s="59">
        <f>+F89+F90</f>
        <v>-1338.48298909</v>
      </c>
    </row>
    <row r="92" spans="1:6">
      <c r="C92" s="79"/>
      <c r="E92" s="24"/>
      <c r="F92" s="61"/>
    </row>
    <row r="93" spans="1:6">
      <c r="B93" s="2" t="s">
        <v>32</v>
      </c>
      <c r="C93" s="79" t="s">
        <v>85</v>
      </c>
      <c r="E93" s="24">
        <v>117.946814</v>
      </c>
      <c r="F93" s="61">
        <v>87.390227530000004</v>
      </c>
    </row>
    <row r="94" spans="1:6">
      <c r="B94" s="2" t="s">
        <v>43</v>
      </c>
      <c r="C94" s="79" t="s">
        <v>86</v>
      </c>
      <c r="E94" s="28">
        <v>23.083810960000001</v>
      </c>
      <c r="F94" s="63">
        <v>17.091331310000001</v>
      </c>
    </row>
    <row r="95" spans="1:6" s="20" customFormat="1">
      <c r="A95" s="8" t="s">
        <v>87</v>
      </c>
      <c r="B95" s="3" t="s">
        <v>45</v>
      </c>
      <c r="C95" s="80" t="s">
        <v>88</v>
      </c>
      <c r="E95" s="22">
        <f>E93+E94</f>
        <v>141.03062496000001</v>
      </c>
      <c r="F95" s="59">
        <f>F93+F94</f>
        <v>104.48155884000001</v>
      </c>
    </row>
    <row r="96" spans="1:6">
      <c r="C96" s="4"/>
      <c r="E96" s="24"/>
      <c r="F96" s="61"/>
    </row>
    <row r="97" spans="1:7">
      <c r="A97" s="8" t="s">
        <v>89</v>
      </c>
      <c r="B97" s="2" t="s">
        <v>46</v>
      </c>
      <c r="C97" s="9" t="s">
        <v>90</v>
      </c>
      <c r="D97" s="20"/>
      <c r="E97" s="22">
        <f>+E91+E95</f>
        <v>-1132.49809794</v>
      </c>
      <c r="F97" s="59">
        <f>+F91+F95</f>
        <v>-1234.0014302500001</v>
      </c>
    </row>
    <row r="98" spans="1:7">
      <c r="E98" s="24"/>
      <c r="F98" s="61"/>
    </row>
    <row r="99" spans="1:7" s="20" customFormat="1">
      <c r="A99" s="90"/>
      <c r="B99" s="3" t="s">
        <v>49</v>
      </c>
      <c r="C99" s="80" t="s">
        <v>91</v>
      </c>
      <c r="E99" s="22">
        <v>-244.15022938999999</v>
      </c>
      <c r="F99" s="59">
        <v>-283.64948900000002</v>
      </c>
    </row>
    <row r="100" spans="1:7">
      <c r="C100" s="80"/>
      <c r="D100" s="20"/>
      <c r="E100" s="22"/>
      <c r="F100" s="59"/>
    </row>
    <row r="101" spans="1:7">
      <c r="B101" s="2" t="s">
        <v>52</v>
      </c>
      <c r="C101" s="92" t="s">
        <v>92</v>
      </c>
      <c r="E101" s="24">
        <v>-146.62038240999999</v>
      </c>
      <c r="F101" s="61">
        <v>-159.96628018000001</v>
      </c>
    </row>
    <row r="102" spans="1:7">
      <c r="A102" s="8" t="s">
        <v>93</v>
      </c>
      <c r="B102" s="2" t="s">
        <v>94</v>
      </c>
      <c r="C102" s="81" t="s">
        <v>95</v>
      </c>
      <c r="E102" s="24">
        <f>+E99-E101</f>
        <v>-97.529846980000002</v>
      </c>
      <c r="F102" s="61">
        <f>+F99-F101</f>
        <v>-123.68320882</v>
      </c>
    </row>
    <row r="103" spans="1:7">
      <c r="E103" s="24"/>
      <c r="F103" s="61"/>
    </row>
    <row r="104" spans="1:7">
      <c r="A104" s="8" t="s">
        <v>96</v>
      </c>
      <c r="B104" s="2" t="s">
        <v>97</v>
      </c>
      <c r="C104" s="79" t="s">
        <v>98</v>
      </c>
      <c r="E104" s="16">
        <f>-E97/E87</f>
        <v>0.7951812463804423</v>
      </c>
      <c r="F104" s="64">
        <f>-F97/F87</f>
        <v>0.76059204091440924</v>
      </c>
    </row>
    <row r="105" spans="1:7">
      <c r="A105" s="8" t="s">
        <v>99</v>
      </c>
      <c r="B105" s="2" t="s">
        <v>100</v>
      </c>
      <c r="C105" s="79" t="s">
        <v>101</v>
      </c>
      <c r="E105" s="16">
        <f>-E101/E87</f>
        <v>0.10294920463145699</v>
      </c>
      <c r="F105" s="64">
        <f>-F101/F87</f>
        <v>9.8597194895424956E-2</v>
      </c>
    </row>
    <row r="106" spans="1:7">
      <c r="A106" s="8" t="s">
        <v>102</v>
      </c>
      <c r="B106" s="2" t="s">
        <v>103</v>
      </c>
      <c r="C106" s="79" t="s">
        <v>104</v>
      </c>
      <c r="E106" s="16">
        <f>-E102/E87</f>
        <v>6.8480384578057843E-2</v>
      </c>
      <c r="F106" s="64">
        <f>-F102/F87</f>
        <v>7.6233675194516126E-2</v>
      </c>
    </row>
    <row r="107" spans="1:7">
      <c r="A107" s="8" t="s">
        <v>105</v>
      </c>
      <c r="B107" s="2" t="s">
        <v>106</v>
      </c>
      <c r="C107" s="80" t="s">
        <v>107</v>
      </c>
      <c r="D107" s="20"/>
      <c r="E107" s="29">
        <f>E104+E105+E106</f>
        <v>0.96661083558995708</v>
      </c>
      <c r="F107" s="45">
        <f>F104+F105+F106</f>
        <v>0.93542291100435038</v>
      </c>
      <c r="G107" s="73"/>
    </row>
    <row r="108" spans="1:7">
      <c r="E108" s="16"/>
      <c r="F108" s="97"/>
    </row>
    <row r="110" spans="1:7">
      <c r="C110" s="87" t="s">
        <v>108</v>
      </c>
      <c r="D110" s="23"/>
      <c r="E110" s="26" t="str">
        <f>E$5</f>
        <v>FY 2022</v>
      </c>
      <c r="F110" s="38" t="str">
        <f>+$F$5</f>
        <v>FY 2023</v>
      </c>
    </row>
    <row r="111" spans="1:7">
      <c r="B111" s="2" t="s">
        <v>7</v>
      </c>
      <c r="C111" s="4" t="s">
        <v>78</v>
      </c>
      <c r="D111" s="27"/>
      <c r="E111" s="24">
        <v>1672.6907692899999</v>
      </c>
      <c r="F111" s="61">
        <v>1891.3915256300002</v>
      </c>
    </row>
    <row r="112" spans="1:7">
      <c r="B112" s="2" t="s">
        <v>9</v>
      </c>
      <c r="C112" s="31" t="s">
        <v>79</v>
      </c>
      <c r="D112" s="27"/>
      <c r="E112" s="28">
        <v>-65.719368360000004</v>
      </c>
      <c r="F112" s="63">
        <v>-88.348580440000006</v>
      </c>
    </row>
    <row r="113" spans="1:6">
      <c r="A113" s="8" t="s">
        <v>11</v>
      </c>
      <c r="B113" s="2" t="s">
        <v>12</v>
      </c>
      <c r="C113" s="89" t="s">
        <v>80</v>
      </c>
      <c r="D113" s="23"/>
      <c r="E113" s="22">
        <f>+E111+E112</f>
        <v>1606.9714009299998</v>
      </c>
      <c r="F113" s="59">
        <f>+F111+F112</f>
        <v>1803.0429451900002</v>
      </c>
    </row>
    <row r="114" spans="1:6">
      <c r="C114" s="4"/>
      <c r="D114" s="27"/>
      <c r="F114" s="61"/>
    </row>
    <row r="115" spans="1:6">
      <c r="B115" s="2" t="s">
        <v>15</v>
      </c>
      <c r="C115" s="91" t="s">
        <v>81</v>
      </c>
      <c r="D115" s="27"/>
      <c r="E115" s="24">
        <v>-959.99127926999995</v>
      </c>
      <c r="F115" s="61">
        <v>-1140.4279434700002</v>
      </c>
    </row>
    <row r="116" spans="1:6">
      <c r="B116" s="2" t="s">
        <v>18</v>
      </c>
      <c r="C116" s="79" t="s">
        <v>82</v>
      </c>
      <c r="E116" s="28">
        <v>50.859323119999999</v>
      </c>
      <c r="F116" s="63">
        <v>87.915042779999993</v>
      </c>
    </row>
    <row r="117" spans="1:6" s="20" customFormat="1">
      <c r="A117" s="8" t="s">
        <v>83</v>
      </c>
      <c r="B117" s="2" t="s">
        <v>21</v>
      </c>
      <c r="C117" s="80" t="s">
        <v>109</v>
      </c>
      <c r="E117" s="22">
        <f>+E115+E116</f>
        <v>-909.13195614999995</v>
      </c>
      <c r="F117" s="59">
        <f>+F115+F116</f>
        <v>-1052.5129006900002</v>
      </c>
    </row>
    <row r="118" spans="1:6">
      <c r="C118" s="79"/>
      <c r="E118" s="24"/>
      <c r="F118" s="61"/>
    </row>
    <row r="119" spans="1:6">
      <c r="B119" s="2" t="s">
        <v>32</v>
      </c>
      <c r="C119" s="79" t="s">
        <v>86</v>
      </c>
      <c r="E119" s="28">
        <v>0</v>
      </c>
      <c r="F119" s="63">
        <v>1.7178252000000001</v>
      </c>
    </row>
    <row r="120" spans="1:6">
      <c r="A120" s="8" t="s">
        <v>110</v>
      </c>
      <c r="B120" s="2" t="s">
        <v>43</v>
      </c>
      <c r="C120" s="9" t="s">
        <v>90</v>
      </c>
      <c r="D120" s="20"/>
      <c r="E120" s="22">
        <f>+E117+E119</f>
        <v>-909.13195614999995</v>
      </c>
      <c r="F120" s="59">
        <f>+F117+F119</f>
        <v>-1050.79507549</v>
      </c>
    </row>
    <row r="121" spans="1:6">
      <c r="C121" s="79"/>
      <c r="E121" s="24"/>
      <c r="F121" s="61"/>
    </row>
    <row r="122" spans="1:6">
      <c r="B122" s="2" t="s">
        <v>45</v>
      </c>
      <c r="C122" s="79" t="s">
        <v>91</v>
      </c>
      <c r="E122" s="24">
        <v>-576.5972002100001</v>
      </c>
      <c r="F122" s="61">
        <v>-636.01380339000002</v>
      </c>
    </row>
    <row r="123" spans="1:6">
      <c r="C123" s="80"/>
      <c r="D123" s="20"/>
      <c r="E123" s="22"/>
      <c r="F123" s="59"/>
    </row>
    <row r="124" spans="1:6">
      <c r="B124" s="2" t="s">
        <v>46</v>
      </c>
      <c r="C124" s="92" t="s">
        <v>92</v>
      </c>
      <c r="E124" s="24">
        <v>-439.52135416000004</v>
      </c>
      <c r="F124" s="61">
        <v>-475.74644761000002</v>
      </c>
    </row>
    <row r="125" spans="1:6">
      <c r="A125" s="8" t="s">
        <v>111</v>
      </c>
      <c r="B125" s="2" t="s">
        <v>49</v>
      </c>
      <c r="C125" s="81" t="s">
        <v>95</v>
      </c>
      <c r="E125" s="24">
        <f>+E122-E124</f>
        <v>-137.07584605000005</v>
      </c>
      <c r="F125" s="61">
        <f>+F122-F124</f>
        <v>-160.26735578</v>
      </c>
    </row>
    <row r="126" spans="1:6">
      <c r="E126" s="24"/>
      <c r="F126" s="61"/>
    </row>
    <row r="127" spans="1:6">
      <c r="A127" s="8" t="s">
        <v>112</v>
      </c>
      <c r="B127" s="2" t="s">
        <v>52</v>
      </c>
      <c r="C127" s="79" t="s">
        <v>98</v>
      </c>
      <c r="E127" s="16">
        <f>-E120/E113</f>
        <v>0.56574246164173148</v>
      </c>
      <c r="F127" s="64">
        <f>-F120/F113</f>
        <v>0.58278982111503164</v>
      </c>
    </row>
    <row r="128" spans="1:6">
      <c r="A128" s="8" t="s">
        <v>96</v>
      </c>
      <c r="B128" s="2" t="s">
        <v>94</v>
      </c>
      <c r="C128" s="79" t="s">
        <v>101</v>
      </c>
      <c r="E128" s="16">
        <f>-E124/E113</f>
        <v>0.27350913271115879</v>
      </c>
      <c r="F128" s="64">
        <f>-F124/F113</f>
        <v>0.26385752423654391</v>
      </c>
    </row>
    <row r="129" spans="1:7">
      <c r="A129" s="8" t="s">
        <v>113</v>
      </c>
      <c r="B129" s="2" t="s">
        <v>97</v>
      </c>
      <c r="C129" s="79" t="s">
        <v>104</v>
      </c>
      <c r="E129" s="16">
        <f>-E125/E113</f>
        <v>8.5300737754679626E-2</v>
      </c>
      <c r="F129" s="64">
        <f>-F125/F113</f>
        <v>8.8887153912527259E-2</v>
      </c>
    </row>
    <row r="130" spans="1:7">
      <c r="A130" s="8" t="s">
        <v>114</v>
      </c>
      <c r="B130" s="2" t="s">
        <v>94</v>
      </c>
      <c r="C130" s="80" t="s">
        <v>115</v>
      </c>
      <c r="D130" s="20"/>
      <c r="E130" s="29">
        <f>E127+E128+E129</f>
        <v>0.92455233210756982</v>
      </c>
      <c r="F130" s="45">
        <f>F127+F128+F129</f>
        <v>0.9355344992641027</v>
      </c>
      <c r="G130" s="73"/>
    </row>
    <row r="131" spans="1:7">
      <c r="E131" s="16"/>
      <c r="F131" s="97"/>
    </row>
    <row r="133" spans="1:7">
      <c r="C133" s="87" t="s">
        <v>116</v>
      </c>
      <c r="D133" s="23"/>
      <c r="E133" s="26" t="str">
        <f>E$5</f>
        <v>FY 2022</v>
      </c>
      <c r="F133" s="38" t="str">
        <f>+$F$5</f>
        <v>FY 2023</v>
      </c>
    </row>
    <row r="134" spans="1:7">
      <c r="B134" s="2" t="s">
        <v>7</v>
      </c>
      <c r="C134" s="4" t="s">
        <v>78</v>
      </c>
      <c r="D134" s="27"/>
      <c r="E134" s="24">
        <v>1118.8724460000001</v>
      </c>
      <c r="F134" s="61">
        <v>1831.530941</v>
      </c>
    </row>
    <row r="135" spans="1:7">
      <c r="B135" s="2" t="s">
        <v>9</v>
      </c>
      <c r="C135" s="31" t="s">
        <v>79</v>
      </c>
      <c r="D135" s="27"/>
      <c r="E135" s="28">
        <v>-0.14809092000000001</v>
      </c>
      <c r="F135" s="63">
        <v>-0.12649099999999999</v>
      </c>
    </row>
    <row r="136" spans="1:7">
      <c r="A136" s="8" t="s">
        <v>11</v>
      </c>
      <c r="B136" s="2" t="s">
        <v>12</v>
      </c>
      <c r="C136" s="89" t="s">
        <v>80</v>
      </c>
      <c r="D136" s="23"/>
      <c r="E136" s="22">
        <f>+E134+E135</f>
        <v>1118.7243550800001</v>
      </c>
      <c r="F136" s="59">
        <f>+F134+F135</f>
        <v>1831.40445</v>
      </c>
    </row>
    <row r="137" spans="1:7">
      <c r="C137" s="4"/>
      <c r="D137" s="27"/>
      <c r="F137" s="61"/>
    </row>
    <row r="138" spans="1:7">
      <c r="B138" s="2" t="s">
        <v>15</v>
      </c>
      <c r="C138" s="91" t="s">
        <v>81</v>
      </c>
      <c r="D138" s="27"/>
      <c r="E138" s="24">
        <v>-1080.07197434</v>
      </c>
      <c r="F138" s="61">
        <v>-1765.1381525999998</v>
      </c>
    </row>
    <row r="139" spans="1:7">
      <c r="B139" s="2" t="s">
        <v>18</v>
      </c>
      <c r="C139" s="79" t="s">
        <v>82</v>
      </c>
      <c r="E139" s="28">
        <v>0</v>
      </c>
      <c r="F139" s="63">
        <v>0</v>
      </c>
    </row>
    <row r="140" spans="1:7" s="20" customFormat="1">
      <c r="A140" s="8" t="s">
        <v>83</v>
      </c>
      <c r="B140" s="2" t="s">
        <v>21</v>
      </c>
      <c r="C140" s="80" t="s">
        <v>117</v>
      </c>
      <c r="E140" s="22">
        <f>+E138+E139</f>
        <v>-1080.07197434</v>
      </c>
      <c r="F140" s="59">
        <f>+F138+F139</f>
        <v>-1765.1381525999998</v>
      </c>
    </row>
    <row r="141" spans="1:7">
      <c r="C141" s="79"/>
      <c r="E141" s="24"/>
      <c r="F141" s="61"/>
    </row>
    <row r="142" spans="1:7" s="20" customFormat="1">
      <c r="A142" s="90"/>
      <c r="B142" s="3" t="s">
        <v>32</v>
      </c>
      <c r="C142" s="80" t="s">
        <v>91</v>
      </c>
      <c r="E142" s="22">
        <v>-51.89954775999999</v>
      </c>
      <c r="F142" s="59">
        <v>-45.986214469999993</v>
      </c>
    </row>
    <row r="143" spans="1:7">
      <c r="C143" s="80"/>
      <c r="D143" s="20"/>
      <c r="E143" s="22"/>
      <c r="F143" s="59"/>
    </row>
    <row r="144" spans="1:7">
      <c r="B144" s="2" t="s">
        <v>43</v>
      </c>
      <c r="C144" s="92" t="s">
        <v>92</v>
      </c>
      <c r="E144" s="24">
        <v>-16.710471999999999</v>
      </c>
      <c r="F144" s="61">
        <v>-10.272266</v>
      </c>
    </row>
    <row r="145" spans="1:7">
      <c r="A145" s="8" t="s">
        <v>118</v>
      </c>
      <c r="B145" s="2" t="s">
        <v>45</v>
      </c>
      <c r="C145" s="81" t="s">
        <v>95</v>
      </c>
      <c r="E145" s="24">
        <f t="shared" ref="E145" si="0">+E142-E144</f>
        <v>-35.189075759999994</v>
      </c>
      <c r="F145" s="61">
        <f t="shared" ref="F145" si="1">+F142-F144</f>
        <v>-35.713948469999991</v>
      </c>
    </row>
    <row r="146" spans="1:7">
      <c r="E146" s="24"/>
      <c r="F146" s="61"/>
    </row>
    <row r="147" spans="1:7">
      <c r="A147" s="8" t="s">
        <v>119</v>
      </c>
      <c r="B147" s="2" t="s">
        <v>46</v>
      </c>
      <c r="C147" s="79" t="s">
        <v>98</v>
      </c>
      <c r="E147" s="16">
        <f>-E140/E136</f>
        <v>0.96544959393751995</v>
      </c>
      <c r="F147" s="64">
        <f>-F140/F136</f>
        <v>0.96381667774150037</v>
      </c>
    </row>
    <row r="148" spans="1:7">
      <c r="A148" s="8" t="s">
        <v>112</v>
      </c>
      <c r="B148" s="2" t="s">
        <v>49</v>
      </c>
      <c r="C148" s="79" t="s">
        <v>101</v>
      </c>
      <c r="E148" s="16">
        <f>-E144/E136</f>
        <v>1.4937077148736098E-2</v>
      </c>
      <c r="F148" s="64">
        <f>-F144/F136</f>
        <v>5.608955465844806E-3</v>
      </c>
    </row>
    <row r="149" spans="1:7">
      <c r="A149" s="8" t="s">
        <v>120</v>
      </c>
      <c r="B149" s="2" t="s">
        <v>52</v>
      </c>
      <c r="C149" s="79" t="s">
        <v>104</v>
      </c>
      <c r="E149" s="16">
        <f>-E145/E136</f>
        <v>3.1454643496595387E-2</v>
      </c>
      <c r="F149" s="64">
        <f>-F145/F136</f>
        <v>1.950085273080995E-2</v>
      </c>
    </row>
    <row r="150" spans="1:7">
      <c r="A150" s="8" t="s">
        <v>121</v>
      </c>
      <c r="B150" s="2" t="s">
        <v>94</v>
      </c>
      <c r="C150" s="80" t="s">
        <v>122</v>
      </c>
      <c r="D150" s="20"/>
      <c r="E150" s="29">
        <f t="shared" ref="E150" si="2">E147+E148+E149</f>
        <v>1.0118413145828513</v>
      </c>
      <c r="F150" s="45">
        <f t="shared" ref="F150" si="3">F147+F148+F149</f>
        <v>0.98892648593815513</v>
      </c>
      <c r="G150" s="73"/>
    </row>
    <row r="151" spans="1:7">
      <c r="E151" s="16"/>
      <c r="F151" s="47"/>
    </row>
    <row r="153" spans="1:7">
      <c r="E153" s="6"/>
      <c r="F153" s="6"/>
    </row>
    <row r="154" spans="1:7">
      <c r="C154" s="87" t="s">
        <v>123</v>
      </c>
      <c r="E154" s="26" t="str">
        <f>E$5</f>
        <v>FY 2022</v>
      </c>
      <c r="F154" s="38" t="str">
        <f>+$F$5</f>
        <v>FY 2023</v>
      </c>
    </row>
    <row r="155" spans="1:7">
      <c r="B155" s="2" t="s">
        <v>7</v>
      </c>
      <c r="C155" s="4" t="s">
        <v>124</v>
      </c>
      <c r="E155" s="6">
        <v>805.43498037846496</v>
      </c>
      <c r="F155" s="61">
        <v>1116.5927509999999</v>
      </c>
    </row>
    <row r="156" spans="1:7">
      <c r="A156" s="2"/>
      <c r="B156" s="1"/>
      <c r="C156" s="9"/>
      <c r="F156" s="61"/>
    </row>
    <row r="157" spans="1:7">
      <c r="B157" s="1" t="s">
        <v>9</v>
      </c>
      <c r="C157" s="79" t="s">
        <v>125</v>
      </c>
      <c r="E157" s="6">
        <v>137004579.71506852</v>
      </c>
      <c r="F157" s="61">
        <v>178838729.80821919</v>
      </c>
    </row>
    <row r="158" spans="1:7">
      <c r="A158" s="8" t="s">
        <v>75</v>
      </c>
      <c r="B158" s="2" t="s">
        <v>12</v>
      </c>
      <c r="C158" s="80" t="s">
        <v>126</v>
      </c>
      <c r="D158" s="20"/>
      <c r="E158" s="30">
        <f>E155*1000000/E157</f>
        <v>5.8788909250591921</v>
      </c>
      <c r="F158" s="65">
        <f>F155*1000000/F157</f>
        <v>6.2435734820829785</v>
      </c>
    </row>
    <row r="161" spans="1:7">
      <c r="C161" s="87" t="s">
        <v>127</v>
      </c>
      <c r="E161" s="26" t="str">
        <f>E$5</f>
        <v>FY 2022</v>
      </c>
      <c r="F161" s="38" t="str">
        <f>+$F$5</f>
        <v>FY 2023</v>
      </c>
    </row>
    <row r="162" spans="1:7">
      <c r="B162" s="2" t="s">
        <v>7</v>
      </c>
      <c r="C162" s="4" t="s">
        <v>128</v>
      </c>
      <c r="E162" s="6">
        <v>653</v>
      </c>
      <c r="F162" s="61">
        <v>938</v>
      </c>
    </row>
    <row r="163" spans="1:7">
      <c r="A163" s="2"/>
      <c r="B163" s="1"/>
      <c r="C163" s="9"/>
      <c r="F163" s="61"/>
    </row>
    <row r="164" spans="1:7">
      <c r="B164" s="1" t="s">
        <v>9</v>
      </c>
      <c r="C164" s="79" t="s">
        <v>125</v>
      </c>
      <c r="E164" s="6">
        <v>137004579.71506852</v>
      </c>
      <c r="F164" s="61">
        <v>178838729.80821919</v>
      </c>
    </row>
    <row r="165" spans="1:7">
      <c r="A165" s="8" t="s">
        <v>75</v>
      </c>
      <c r="B165" s="2" t="s">
        <v>12</v>
      </c>
      <c r="C165" s="80" t="s">
        <v>129</v>
      </c>
      <c r="D165" s="20"/>
      <c r="E165" s="30">
        <f>E162*1000000/E164</f>
        <v>4.7662640282394841</v>
      </c>
      <c r="F165" s="65">
        <f>F162*1000000/F164</f>
        <v>5.2449489045570861</v>
      </c>
    </row>
    <row r="168" spans="1:7">
      <c r="C168" s="87" t="s">
        <v>130</v>
      </c>
      <c r="E168" s="26" t="str">
        <f>E$5</f>
        <v>FY 2022</v>
      </c>
      <c r="F168" s="38" t="str">
        <f>+$F$5</f>
        <v>FY 2023</v>
      </c>
    </row>
    <row r="169" spans="1:7">
      <c r="B169" s="2" t="s">
        <v>7</v>
      </c>
      <c r="C169" s="4" t="s">
        <v>131</v>
      </c>
      <c r="E169" s="6">
        <v>385.81001692000001</v>
      </c>
      <c r="F169" s="61">
        <v>610.21818818000008</v>
      </c>
      <c r="G169" s="75"/>
    </row>
    <row r="170" spans="1:7">
      <c r="B170" s="2" t="s">
        <v>9</v>
      </c>
      <c r="C170" s="79" t="s">
        <v>132</v>
      </c>
      <c r="E170" s="7">
        <v>147924284</v>
      </c>
      <c r="F170" s="63">
        <v>211148162</v>
      </c>
      <c r="G170" s="75"/>
    </row>
    <row r="171" spans="1:7">
      <c r="A171" s="31"/>
      <c r="B171" s="1" t="s">
        <v>12</v>
      </c>
      <c r="C171" s="9" t="s">
        <v>133</v>
      </c>
      <c r="E171" s="30">
        <v>2.7</v>
      </c>
      <c r="F171" s="66">
        <f>(F169*1000000)/F170</f>
        <v>2.89</v>
      </c>
      <c r="G171" s="75"/>
    </row>
    <row r="172" spans="1:7">
      <c r="C172" s="74" t="s">
        <v>134</v>
      </c>
    </row>
    <row r="176" spans="1:7">
      <c r="C176" s="87" t="s">
        <v>135</v>
      </c>
      <c r="E176" s="26" t="str">
        <f>E$5</f>
        <v>FY 2022</v>
      </c>
      <c r="F176" s="38" t="str">
        <f>+$F$5</f>
        <v>FY 2023</v>
      </c>
    </row>
    <row r="177" spans="1:6">
      <c r="B177" s="2" t="s">
        <v>7</v>
      </c>
      <c r="C177" s="4" t="s">
        <v>136</v>
      </c>
      <c r="E177" s="6">
        <v>-1757.4501645599998</v>
      </c>
      <c r="F177" s="61">
        <v>1037.9301805299999</v>
      </c>
    </row>
    <row r="178" spans="1:6">
      <c r="B178" s="2" t="s">
        <v>9</v>
      </c>
      <c r="C178" s="79" t="s">
        <v>125</v>
      </c>
      <c r="E178" s="7">
        <v>137004579.71506852</v>
      </c>
      <c r="F178" s="63">
        <v>178838729.80821919</v>
      </c>
    </row>
    <row r="179" spans="1:6">
      <c r="A179" s="31" t="s">
        <v>75</v>
      </c>
      <c r="B179" s="1" t="s">
        <v>12</v>
      </c>
      <c r="C179" s="9" t="s">
        <v>137</v>
      </c>
      <c r="E179" s="30">
        <f>E177*1000000/E178</f>
        <v>-12.827674580039647</v>
      </c>
      <c r="F179" s="66">
        <f>F177*1000000/F178</f>
        <v>5.8037214961381256</v>
      </c>
    </row>
    <row r="183" spans="1:6">
      <c r="C183" s="74"/>
    </row>
    <row r="184" spans="1:6">
      <c r="C184" s="74"/>
    </row>
  </sheetData>
  <pageMargins left="0.25" right="0.25" top="0.75" bottom="0.75" header="0.3" footer="0.3"/>
  <pageSetup paperSize="256" scale="10" fitToHeight="0" orientation="portrait" r:id="rId1"/>
  <ignoredErrors>
    <ignoredError sqref="E13:F13 D21:D22 E69:F69 F10 E20:F22 E41:F41 E45:F49 E54:F55 E58:F59 E76:F77 F84 F88 F96 F103 F156 F167 F182 F50 F107 F175:F176 E80:F81 E71:F74 F172:F173 F179:F180 E62:F64 F60:F61 F98 F154 E15:F16 F14 F18 D26 F26 D28 D25:F25 D27:F27 D29:F32 F159:F16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49ccbba-12d6-49db-bdd9-68cdcd1a3368">
      <UserInfo>
        <DisplayName>Koomen P. (Petra)</DisplayName>
        <AccountId>31</AccountId>
        <AccountType/>
      </UserInfo>
      <UserInfo>
        <DisplayName>Meulenhof R.A.J.H. van de (Rick)</DisplayName>
        <AccountId>18</AccountId>
        <AccountType/>
      </UserInfo>
      <UserInfo>
        <DisplayName>Bruintjes J.W. (Jan Willem)</DisplayName>
        <AccountId>10</AccountId>
        <AccountType/>
      </UserInfo>
      <UserInfo>
        <DisplayName>Nijkamp D. (Dennis)</DisplayName>
        <AccountId>35</AccountId>
        <AccountType/>
      </UserInfo>
      <UserInfo>
        <DisplayName>Pater R.P. de (Robert)</DisplayName>
        <AccountId>26</AccountId>
        <AccountType/>
      </UserInfo>
      <UserInfo>
        <DisplayName>Warmerdam Y.E.L. (Yvo)</DisplayName>
        <AccountId>21</AccountId>
        <AccountType/>
      </UserInfo>
    </SharedWithUsers>
    <lcf76f155ced4ddcb4097134ff3c332f xmlns="e08edb36-42ec-4d7b-b33e-38f73d74cd73">
      <Terms xmlns="http://schemas.microsoft.com/office/infopath/2007/PartnerControls"/>
    </lcf76f155ced4ddcb4097134ff3c332f>
    <TaxCatchAll xmlns="349ccbba-12d6-49db-bdd9-68cdcd1a336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74F064D97E484E9B0861EFDA82657B" ma:contentTypeVersion="13" ma:contentTypeDescription="Een nieuw document maken." ma:contentTypeScope="" ma:versionID="8391b6261bd957e4d509b692682c6d62">
  <xsd:schema xmlns:xsd="http://www.w3.org/2001/XMLSchema" xmlns:xs="http://www.w3.org/2001/XMLSchema" xmlns:p="http://schemas.microsoft.com/office/2006/metadata/properties" xmlns:ns2="e08edb36-42ec-4d7b-b33e-38f73d74cd73" xmlns:ns3="349ccbba-12d6-49db-bdd9-68cdcd1a3368" targetNamespace="http://schemas.microsoft.com/office/2006/metadata/properties" ma:root="true" ma:fieldsID="452e6a9ef1be7dfdf110e62ae7c41e70" ns2:_="" ns3:_="">
    <xsd:import namespace="e08edb36-42ec-4d7b-b33e-38f73d74cd73"/>
    <xsd:import namespace="349ccbba-12d6-49db-bdd9-68cdcd1a33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8edb36-42ec-4d7b-b33e-38f73d74c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664b9308-55c8-4015-8ac6-a51aaf5c930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9ccbba-12d6-49db-bdd9-68cdcd1a33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d124f65-b685-452e-97f6-60855a4edae7}" ma:internalName="TaxCatchAll" ma:showField="CatchAllData" ma:web="349ccbba-12d6-49db-bdd9-68cdcd1a336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368EF0-A661-4F09-B4FB-D6C093BD422B}"/>
</file>

<file path=customXml/itemProps2.xml><?xml version="1.0" encoding="utf-8"?>
<ds:datastoreItem xmlns:ds="http://schemas.openxmlformats.org/officeDocument/2006/customXml" ds:itemID="{30FD20E7-EBDA-41A7-BF04-5ABD8B738F38}"/>
</file>

<file path=customXml/itemProps3.xml><?xml version="1.0" encoding="utf-8"?>
<ds:datastoreItem xmlns:ds="http://schemas.openxmlformats.org/officeDocument/2006/customXml" ds:itemID="{21533D0A-D520-4F33-9E0E-0C1A9DBD3ABB}"/>
</file>

<file path=docProps/app.xml><?xml version="1.0" encoding="utf-8"?>
<Properties xmlns="http://schemas.openxmlformats.org/officeDocument/2006/extended-properties" xmlns:vt="http://schemas.openxmlformats.org/officeDocument/2006/docPropsVTypes">
  <Application>Microsoft Excel Online</Application>
  <Manager/>
  <Company>ASR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Vloet W.E.M. (Helma)</dc:creator>
  <cp:keywords/>
  <dc:description/>
  <cp:lastModifiedBy>Warmerdam Y.E.L. (Yvo)</cp:lastModifiedBy>
  <cp:revision/>
  <dcterms:created xsi:type="dcterms:W3CDTF">2016-06-20T09:01:04Z</dcterms:created>
  <dcterms:modified xsi:type="dcterms:W3CDTF">2024-02-27T14:29:21Z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0x0101003B74F064D97E484E9B0861EFDA82657B</vt:lpwstr>
  </property>
  <property fmtid="{D5CDD505-2E9C-101B-9397-08002B2CF9AE}" pid="3" name="MediaServiceImageTags">
    <vt:lpwstr/>
  </property>
</Properties>
</file>